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E388672E-A395-4437-B014-02C289615840}" xr6:coauthVersionLast="46" xr6:coauthVersionMax="46" xr10:uidLastSave="{00000000-0000-0000-0000-000000000000}"/>
  <bookViews>
    <workbookView xWindow="-120" yWindow="-120" windowWidth="29040" windowHeight="15840" activeTab="9" xr2:uid="{00000000-000D-0000-FFFF-FFFF00000000}"/>
  </bookViews>
  <sheets>
    <sheet name="2210" sheetId="1" r:id="rId1"/>
    <sheet name="2220" sheetId="17" r:id="rId2"/>
    <sheet name="2230" sheetId="18" r:id="rId3"/>
    <sheet name="2240" sheetId="19" r:id="rId4"/>
    <sheet name="2271" sheetId="20" r:id="rId5"/>
    <sheet name="2272" sheetId="21" r:id="rId6"/>
    <sheet name="2273" sheetId="22" r:id="rId7"/>
    <sheet name="2282" sheetId="23" r:id="rId8"/>
    <sheet name="3210" sheetId="24" r:id="rId9"/>
    <sheet name="СФ2610" sheetId="25" r:id="rId10"/>
  </sheets>
  <calcPr calcId="191029"/>
</workbook>
</file>

<file path=xl/calcChain.xml><?xml version="1.0" encoding="utf-8"?>
<calcChain xmlns="http://schemas.openxmlformats.org/spreadsheetml/2006/main">
  <c r="Z12" i="21" l="1"/>
  <c r="AA12" i="21" s="1"/>
  <c r="Z11" i="21"/>
  <c r="AA11" i="21"/>
  <c r="Z182" i="1"/>
  <c r="AA182" i="1" s="1"/>
  <c r="Y65" i="17"/>
  <c r="P65" i="17"/>
  <c r="Z181" i="1"/>
  <c r="AA181" i="1" s="1"/>
  <c r="Z165" i="19"/>
  <c r="AA165" i="19" s="1"/>
  <c r="Y165" i="19"/>
  <c r="P165" i="19"/>
  <c r="Y48" i="17"/>
  <c r="P48" i="17"/>
  <c r="Y78" i="19" l="1"/>
  <c r="P78" i="19"/>
  <c r="Y156" i="1"/>
  <c r="P156" i="1"/>
  <c r="Z160" i="17"/>
  <c r="AA160" i="17" s="1"/>
  <c r="Y160" i="17"/>
  <c r="P160" i="17"/>
  <c r="Y98" i="17"/>
  <c r="P98" i="17"/>
  <c r="Y67" i="19"/>
  <c r="P67" i="19"/>
  <c r="Q18" i="19"/>
  <c r="H18" i="19"/>
  <c r="Z164" i="19"/>
  <c r="AA164" i="19" s="1"/>
  <c r="Q103" i="19"/>
  <c r="H103" i="19"/>
  <c r="Y41" i="19"/>
  <c r="P41" i="19"/>
  <c r="Y40" i="19"/>
  <c r="P40" i="19"/>
  <c r="Y42" i="19"/>
  <c r="P42" i="19"/>
  <c r="Y111" i="19"/>
  <c r="P111" i="19"/>
  <c r="Z159" i="17"/>
  <c r="AA159" i="17" s="1"/>
  <c r="Y87" i="17"/>
  <c r="P87" i="17"/>
  <c r="Y158" i="17"/>
  <c r="Z158" i="17" s="1"/>
  <c r="AA158" i="17" s="1"/>
  <c r="P158" i="17"/>
  <c r="Y96" i="17"/>
  <c r="P96" i="17"/>
  <c r="Y142" i="19"/>
  <c r="P142" i="19"/>
  <c r="Y144" i="17"/>
  <c r="P144" i="17"/>
  <c r="Z180" i="1"/>
  <c r="AA180" i="1" s="1"/>
  <c r="Y144" i="19"/>
  <c r="P144" i="19"/>
  <c r="N52" i="24"/>
  <c r="G52" i="24"/>
  <c r="Q11" i="22"/>
  <c r="H11" i="22"/>
  <c r="Z15" i="22"/>
  <c r="AA15" i="22" s="1"/>
  <c r="V13" i="22" l="1"/>
  <c r="S13" i="22"/>
  <c r="R13" i="22"/>
  <c r="Q13" i="22"/>
  <c r="Z157" i="17"/>
  <c r="AA157" i="17" s="1"/>
  <c r="R52" i="19"/>
  <c r="I52" i="19"/>
  <c r="R5" i="19" l="1"/>
  <c r="I5" i="19"/>
  <c r="Z163" i="19" l="1"/>
  <c r="AA163" i="19" s="1"/>
  <c r="Q35" i="19" l="1"/>
  <c r="H35" i="19"/>
  <c r="R137" i="19"/>
  <c r="I137" i="19"/>
  <c r="Z156" i="17"/>
  <c r="AA156" i="17" s="1"/>
  <c r="Q24" i="19"/>
  <c r="H24" i="19"/>
  <c r="T12" i="18"/>
  <c r="V17" i="19"/>
  <c r="X33" i="23"/>
  <c r="Y33" i="23" s="1"/>
  <c r="Q34" i="19"/>
  <c r="H34" i="19"/>
  <c r="Q57" i="19"/>
  <c r="H57" i="19"/>
  <c r="R9" i="19"/>
  <c r="I9" i="19"/>
  <c r="Z155" i="17"/>
  <c r="AA155" i="17" s="1"/>
  <c r="Z179" i="1"/>
  <c r="AA179" i="1" s="1"/>
  <c r="Z154" i="17" l="1"/>
  <c r="AA154" i="17" s="1"/>
  <c r="X32" i="23" l="1"/>
  <c r="Y32" i="23" s="1"/>
  <c r="X31" i="23"/>
  <c r="Y31" i="23" s="1"/>
  <c r="Y47" i="19"/>
  <c r="P47" i="19"/>
  <c r="Z178" i="1"/>
  <c r="AA178" i="1" s="1"/>
  <c r="Q37" i="19"/>
  <c r="H37" i="19"/>
  <c r="Q19" i="19"/>
  <c r="H19" i="19"/>
  <c r="Z162" i="19"/>
  <c r="AA162" i="19" s="1"/>
  <c r="Y112" i="19"/>
  <c r="P112" i="19"/>
  <c r="X30" i="23"/>
  <c r="Y30" i="23" s="1"/>
  <c r="Z153" i="17"/>
  <c r="AA153" i="17" s="1"/>
  <c r="M10" i="21"/>
  <c r="L10" i="21"/>
  <c r="G10" i="21"/>
  <c r="M9" i="21"/>
  <c r="L9" i="21"/>
  <c r="G9" i="21"/>
  <c r="V5" i="25"/>
  <c r="P7" i="20" l="1"/>
  <c r="Q7" i="20"/>
  <c r="Y73" i="17"/>
  <c r="P73" i="17"/>
  <c r="Y50" i="17"/>
  <c r="P50" i="17"/>
  <c r="Z161" i="19" l="1"/>
  <c r="AA161" i="19" s="1"/>
  <c r="Y39" i="19"/>
  <c r="P39" i="19"/>
  <c r="X75" i="24"/>
  <c r="Y75" i="24"/>
  <c r="G75" i="24"/>
  <c r="N71" i="24" l="1"/>
  <c r="Z160" i="19"/>
  <c r="AA160" i="19" s="1"/>
  <c r="Z159" i="19"/>
  <c r="AA159" i="19" s="1"/>
  <c r="Y42" i="1"/>
  <c r="P42" i="1"/>
  <c r="Z158" i="19"/>
  <c r="AA158" i="19" s="1"/>
  <c r="Q23" i="19"/>
  <c r="H23" i="19"/>
  <c r="Z157" i="19"/>
  <c r="AA157" i="19" s="1"/>
  <c r="Y38" i="19"/>
  <c r="P38" i="19"/>
  <c r="Y97" i="17" l="1"/>
  <c r="P97" i="17"/>
  <c r="Y156" i="19"/>
  <c r="Z156" i="19" s="1"/>
  <c r="AA156" i="19" s="1"/>
  <c r="P156" i="19"/>
  <c r="Z155" i="19" l="1"/>
  <c r="AA155" i="19" s="1"/>
  <c r="Z177" i="1"/>
  <c r="AA177" i="1" s="1"/>
  <c r="Y103" i="17"/>
  <c r="P103" i="17"/>
  <c r="W8" i="25"/>
  <c r="U8" i="25"/>
  <c r="T8" i="25"/>
  <c r="S8" i="25"/>
  <c r="R8" i="25"/>
  <c r="Q8" i="25"/>
  <c r="P8" i="25"/>
  <c r="O8" i="25"/>
  <c r="L8" i="25"/>
  <c r="K8" i="25"/>
  <c r="I8" i="25"/>
  <c r="H8" i="25"/>
  <c r="G8" i="25"/>
  <c r="X7" i="25"/>
  <c r="Y7" i="25" s="1"/>
  <c r="M8" i="25"/>
  <c r="J8" i="25"/>
  <c r="N8" i="25"/>
  <c r="X5" i="25"/>
  <c r="Y5" i="25" s="1"/>
  <c r="Y8" i="25" l="1"/>
  <c r="X8" i="25"/>
  <c r="V8" i="25"/>
  <c r="N68" i="24"/>
  <c r="G68" i="24"/>
  <c r="X12" i="18"/>
  <c r="Y12" i="18" s="1"/>
  <c r="V72" i="24"/>
  <c r="W9" i="18"/>
  <c r="O9" i="18"/>
  <c r="Y152" i="17"/>
  <c r="Z152" i="17" s="1"/>
  <c r="AA152" i="17" s="1"/>
  <c r="P152" i="17"/>
  <c r="S70" i="19"/>
  <c r="J70" i="19"/>
  <c r="Y70" i="19"/>
  <c r="P70" i="19"/>
  <c r="Y87" i="19"/>
  <c r="P87" i="19"/>
  <c r="Z176" i="1"/>
  <c r="AA176" i="1" s="1"/>
  <c r="V51" i="24"/>
  <c r="V55" i="24" l="1"/>
  <c r="Z151" i="17"/>
  <c r="AA151" i="17" s="1"/>
  <c r="Z154" i="19"/>
  <c r="AA154" i="19" s="1"/>
  <c r="Q6" i="17"/>
  <c r="H6" i="17"/>
  <c r="Z153" i="19"/>
  <c r="AA153" i="19" s="1"/>
  <c r="T6" i="18"/>
  <c r="X29" i="23" l="1"/>
  <c r="Y29" i="23" s="1"/>
  <c r="R6" i="17" l="1"/>
  <c r="I6" i="17"/>
  <c r="Y77" i="19"/>
  <c r="P77" i="19"/>
  <c r="Y150" i="17"/>
  <c r="Z150" i="17" s="1"/>
  <c r="AA150" i="17" s="1"/>
  <c r="P150" i="17"/>
  <c r="Z152" i="19"/>
  <c r="AA152" i="19" s="1"/>
  <c r="Z149" i="17"/>
  <c r="AA149" i="17" s="1"/>
  <c r="Z151" i="19"/>
  <c r="AA151" i="19" s="1"/>
  <c r="Z166" i="19"/>
  <c r="AA166" i="19" s="1"/>
  <c r="Y80" i="19"/>
  <c r="P80" i="19"/>
  <c r="Y75" i="17"/>
  <c r="P75" i="17"/>
  <c r="Z150" i="19"/>
  <c r="AA150" i="19" s="1"/>
  <c r="Z149" i="19"/>
  <c r="AA149" i="19" s="1"/>
  <c r="X28" i="23"/>
  <c r="Y28" i="23" s="1"/>
  <c r="V10" i="21" l="1"/>
  <c r="S10" i="21"/>
  <c r="Q10" i="21"/>
  <c r="P10" i="21"/>
  <c r="V9" i="21" l="1"/>
  <c r="S9" i="21"/>
  <c r="Q9" i="21"/>
  <c r="P9" i="21"/>
  <c r="Y69" i="17"/>
  <c r="P69" i="17"/>
  <c r="Y148" i="17"/>
  <c r="P148" i="17"/>
  <c r="Y82" i="17"/>
  <c r="P82" i="17"/>
  <c r="Z148" i="17"/>
  <c r="AA148" i="17" s="1"/>
  <c r="Y83" i="17"/>
  <c r="P83" i="17"/>
  <c r="Z148" i="19"/>
  <c r="AA148" i="19" s="1"/>
  <c r="U175" i="1"/>
  <c r="Z175" i="1" s="1"/>
  <c r="AA175" i="1" s="1"/>
  <c r="L175" i="1"/>
  <c r="Z174" i="1"/>
  <c r="AA174" i="1" s="1"/>
  <c r="Z173" i="1" l="1"/>
  <c r="AA173" i="1" s="1"/>
  <c r="Z172" i="1"/>
  <c r="AA172" i="1" s="1"/>
  <c r="X74" i="24"/>
  <c r="Y74" i="24" s="1"/>
  <c r="V60" i="24"/>
  <c r="H9" i="22"/>
  <c r="Z147" i="17" l="1"/>
  <c r="AA147" i="17" s="1"/>
  <c r="Y131" i="17"/>
  <c r="P131" i="17"/>
  <c r="Q12" i="22"/>
  <c r="H12" i="22"/>
  <c r="N17" i="19"/>
  <c r="G17" i="19"/>
  <c r="X73" i="24"/>
  <c r="Y73" i="24" s="1"/>
  <c r="X72" i="24" l="1"/>
  <c r="Y72" i="24" s="1"/>
  <c r="Z14" i="22" l="1"/>
  <c r="AA14" i="22" s="1"/>
  <c r="Z13" i="22"/>
  <c r="AA13" i="22" s="1"/>
  <c r="M9" i="22"/>
  <c r="G9" i="22"/>
  <c r="V52" i="24"/>
  <c r="M17" i="19"/>
  <c r="Z147" i="19"/>
  <c r="AA147" i="19" s="1"/>
  <c r="V59" i="24"/>
  <c r="X71" i="24"/>
  <c r="Y71" i="24" s="1"/>
  <c r="Z146" i="17"/>
  <c r="AA146" i="17" s="1"/>
  <c r="Z146" i="19"/>
  <c r="AA146" i="19" s="1"/>
  <c r="Z145" i="19"/>
  <c r="AA145" i="19" s="1"/>
  <c r="Y95" i="17"/>
  <c r="P95" i="17"/>
  <c r="Z145" i="17"/>
  <c r="AA145" i="17" s="1"/>
  <c r="Z169" i="1"/>
  <c r="AA169" i="1" s="1"/>
  <c r="Z170" i="1"/>
  <c r="AA170" i="1" s="1"/>
  <c r="Z171" i="1"/>
  <c r="AA171" i="1" s="1"/>
  <c r="Z184" i="1"/>
  <c r="AA184" i="1" s="1"/>
  <c r="Z144" i="19" l="1"/>
  <c r="AA144" i="19" s="1"/>
  <c r="Z168" i="1" l="1"/>
  <c r="AA168" i="1" s="1"/>
  <c r="Z143" i="19"/>
  <c r="AA143" i="19" s="1"/>
  <c r="Z142" i="19" l="1"/>
  <c r="AA142" i="19" s="1"/>
  <c r="Z167" i="19"/>
  <c r="AA167" i="19" s="1"/>
  <c r="Z144" i="17"/>
  <c r="AA144" i="17" s="1"/>
  <c r="Y143" i="17"/>
  <c r="Z143" i="17" s="1"/>
  <c r="AA143" i="17" s="1"/>
  <c r="P143" i="17"/>
  <c r="Y107" i="17"/>
  <c r="P107" i="17"/>
  <c r="Y142" i="17"/>
  <c r="Z142" i="17" s="1"/>
  <c r="AA142" i="17" s="1"/>
  <c r="P142" i="17"/>
  <c r="Z167" i="1"/>
  <c r="AA167" i="1" s="1"/>
  <c r="Y92" i="17"/>
  <c r="P92" i="17"/>
  <c r="Y10" i="1" l="1"/>
  <c r="P10" i="1"/>
  <c r="Y106" i="17"/>
  <c r="P106" i="17"/>
  <c r="Z141" i="17"/>
  <c r="AA141" i="17" s="1"/>
  <c r="Y103" i="19"/>
  <c r="P103" i="19"/>
  <c r="Z140" i="17"/>
  <c r="AA140" i="17" s="1"/>
  <c r="T86" i="17"/>
  <c r="T163" i="17" s="1"/>
  <c r="Z139" i="17"/>
  <c r="AA139" i="17" s="1"/>
  <c r="Z166" i="1"/>
  <c r="AA166" i="1" s="1"/>
  <c r="Z141" i="19"/>
  <c r="AA141" i="19" s="1"/>
  <c r="Z138" i="17"/>
  <c r="AA138" i="17" s="1"/>
  <c r="Z137" i="17"/>
  <c r="AA137" i="17" s="1"/>
  <c r="Z136" i="17"/>
  <c r="AA136" i="17" s="1"/>
  <c r="Y92" i="19"/>
  <c r="P92" i="19"/>
  <c r="Y93" i="19"/>
  <c r="P93" i="19"/>
  <c r="Y94" i="19"/>
  <c r="P94" i="19"/>
  <c r="Y95" i="19"/>
  <c r="P95" i="19"/>
  <c r="Z140" i="19"/>
  <c r="AA140" i="19" s="1"/>
  <c r="Z139" i="19"/>
  <c r="AA139" i="19" s="1"/>
  <c r="Z131" i="17"/>
  <c r="AA131" i="17" s="1"/>
  <c r="Z135" i="17"/>
  <c r="AA135" i="17" s="1"/>
  <c r="Z134" i="17"/>
  <c r="AA134" i="17" s="1"/>
  <c r="Y133" i="17"/>
  <c r="Z133" i="17" s="1"/>
  <c r="AA133" i="17" s="1"/>
  <c r="P133" i="17"/>
  <c r="Z132" i="17"/>
  <c r="AA132" i="17" s="1"/>
  <c r="R37" i="19"/>
  <c r="I37" i="19"/>
  <c r="Y21" i="19"/>
  <c r="P21" i="19"/>
  <c r="R39" i="19"/>
  <c r="I39" i="19" l="1"/>
  <c r="Y130" i="17"/>
  <c r="Z130" i="17" s="1"/>
  <c r="AA130" i="17" s="1"/>
  <c r="P130" i="17"/>
  <c r="Z165" i="1"/>
  <c r="AA165" i="1" s="1"/>
  <c r="Z164" i="1"/>
  <c r="AA164" i="1" s="1"/>
  <c r="Z163" i="1"/>
  <c r="AA163" i="1" s="1"/>
  <c r="Z162" i="1"/>
  <c r="AA162" i="1" s="1"/>
  <c r="Z161" i="1"/>
  <c r="AA161" i="1" s="1"/>
  <c r="Z129" i="17"/>
  <c r="AA129" i="17" s="1"/>
  <c r="G10" i="22" l="1"/>
  <c r="N10" i="22"/>
  <c r="M10" i="22"/>
  <c r="N9" i="22"/>
  <c r="Y138" i="19"/>
  <c r="Z138" i="19" s="1"/>
  <c r="AA138" i="19" s="1"/>
  <c r="P138" i="19"/>
  <c r="Y137" i="19"/>
  <c r="Z137" i="19" s="1"/>
  <c r="AA137" i="19" s="1"/>
  <c r="P137" i="19"/>
  <c r="Z128" i="17"/>
  <c r="AA128" i="17" s="1"/>
  <c r="Z127" i="17"/>
  <c r="AA127" i="17" s="1"/>
  <c r="Y89" i="17"/>
  <c r="P89" i="17"/>
  <c r="V10" i="22"/>
  <c r="R10" i="22"/>
  <c r="Q10" i="22"/>
  <c r="Q9" i="22"/>
  <c r="J9" i="22"/>
  <c r="I9" i="22"/>
  <c r="V9" i="22"/>
  <c r="S9" i="22"/>
  <c r="R9" i="22"/>
  <c r="Z160" i="1"/>
  <c r="AA160" i="1" s="1"/>
  <c r="X27" i="23"/>
  <c r="Y27" i="23" s="1"/>
  <c r="Z126" i="17"/>
  <c r="AA126" i="17" s="1"/>
  <c r="Z136" i="19"/>
  <c r="AA136" i="19" s="1"/>
  <c r="Z159" i="1"/>
  <c r="AA159" i="1" s="1"/>
  <c r="Z158" i="1"/>
  <c r="AA158" i="1" s="1"/>
  <c r="Q58" i="19"/>
  <c r="H58" i="19"/>
  <c r="Q5" i="19"/>
  <c r="H5" i="19"/>
  <c r="R21" i="22" l="1"/>
  <c r="M126" i="19"/>
  <c r="G126" i="19"/>
  <c r="Z125" i="17"/>
  <c r="AA125" i="17" s="1"/>
  <c r="X70" i="24"/>
  <c r="Y70" i="24" s="1"/>
  <c r="N6" i="24"/>
  <c r="Z124" i="17"/>
  <c r="AA124" i="17" s="1"/>
  <c r="Z123" i="17"/>
  <c r="AA123" i="17" s="1"/>
  <c r="Z157" i="1"/>
  <c r="AA157" i="1" s="1"/>
  <c r="S12" i="22"/>
  <c r="J12" i="22"/>
  <c r="Z122" i="17"/>
  <c r="AA122" i="17" s="1"/>
  <c r="Z121" i="17" l="1"/>
  <c r="AA121" i="17" s="1"/>
  <c r="Z156" i="1" l="1"/>
  <c r="AA156" i="1" s="1"/>
  <c r="X69" i="24" l="1"/>
  <c r="Y69" i="24" s="1"/>
  <c r="V65" i="24" l="1"/>
  <c r="Z155" i="1"/>
  <c r="AA155" i="1" s="1"/>
  <c r="Z135" i="19"/>
  <c r="AA135" i="19" s="1"/>
  <c r="X26" i="23"/>
  <c r="Y26" i="23" s="1"/>
  <c r="Y85" i="17" l="1"/>
  <c r="P85" i="17"/>
  <c r="Q15" i="17" l="1"/>
  <c r="H15" i="17"/>
  <c r="M20" i="24"/>
  <c r="G20" i="24"/>
  <c r="Z134" i="19"/>
  <c r="AA134" i="19" s="1"/>
  <c r="Z133" i="19" l="1"/>
  <c r="AA133" i="19" s="1"/>
  <c r="Z154" i="1"/>
  <c r="AA154" i="1" s="1"/>
  <c r="Z132" i="19" l="1"/>
  <c r="AA132" i="19" s="1"/>
  <c r="Z120" i="17"/>
  <c r="AA120" i="17" s="1"/>
  <c r="Z153" i="1"/>
  <c r="AA153" i="1" s="1"/>
  <c r="Z131" i="19" l="1"/>
  <c r="AA131" i="19" s="1"/>
  <c r="Z130" i="19"/>
  <c r="AA130" i="19" s="1"/>
  <c r="Z152" i="1"/>
  <c r="AA152" i="1" s="1"/>
  <c r="Z119" i="17"/>
  <c r="AA119" i="17" s="1"/>
  <c r="N20" i="24"/>
  <c r="X68" i="24"/>
  <c r="Y68" i="24" s="1"/>
  <c r="Z129" i="19"/>
  <c r="AA129" i="19" s="1"/>
  <c r="X67" i="24"/>
  <c r="Y67" i="24" s="1"/>
  <c r="X25" i="23" l="1"/>
  <c r="Y25" i="23" s="1"/>
  <c r="N19" i="24"/>
  <c r="J19" i="24"/>
  <c r="G19" i="24"/>
  <c r="X66" i="24"/>
  <c r="Y66" i="24" s="1"/>
  <c r="Z151" i="1" l="1"/>
  <c r="AA151" i="1" s="1"/>
  <c r="X65" i="24"/>
  <c r="Y65" i="24" s="1"/>
  <c r="Z150" i="1"/>
  <c r="AA150" i="1" s="1"/>
  <c r="Z149" i="1"/>
  <c r="AA149" i="1" s="1"/>
  <c r="Z148" i="1"/>
  <c r="AA148" i="1" s="1"/>
  <c r="X64" i="24"/>
  <c r="Y64" i="24" s="1"/>
  <c r="Z128" i="19"/>
  <c r="AA128" i="19" s="1"/>
  <c r="Z147" i="1"/>
  <c r="AA147" i="1" s="1"/>
  <c r="X63" i="24"/>
  <c r="Y63" i="24" s="1"/>
  <c r="X62" i="24" l="1"/>
  <c r="Y62" i="24" s="1"/>
  <c r="V127" i="19" l="1"/>
  <c r="Z127" i="19" s="1"/>
  <c r="AA127" i="19" s="1"/>
  <c r="X11" i="18" l="1"/>
  <c r="Y11" i="18" s="1"/>
  <c r="X13" i="18"/>
  <c r="Y13" i="18" s="1"/>
  <c r="R23" i="19"/>
  <c r="I23" i="19"/>
  <c r="Z146" i="1" l="1"/>
  <c r="AA146" i="1" s="1"/>
  <c r="R72" i="19"/>
  <c r="I72" i="19"/>
  <c r="X60" i="24"/>
  <c r="Y60" i="24" s="1"/>
  <c r="X61" i="24"/>
  <c r="Y61" i="24" s="1"/>
  <c r="Z117" i="17" l="1"/>
  <c r="AA117" i="17" s="1"/>
  <c r="Z126" i="19" l="1"/>
  <c r="AA126" i="19" s="1"/>
  <c r="X59" i="24" l="1"/>
  <c r="Y59" i="24" s="1"/>
  <c r="Z116" i="17" l="1"/>
  <c r="AA116" i="17" s="1"/>
  <c r="Z118" i="17"/>
  <c r="AA118" i="17" s="1"/>
  <c r="H78" i="24"/>
  <c r="I78" i="24"/>
  <c r="J78" i="24"/>
  <c r="K78" i="24"/>
  <c r="L78" i="24"/>
  <c r="M78" i="24"/>
  <c r="O78" i="24"/>
  <c r="P78" i="24"/>
  <c r="Q78" i="24"/>
  <c r="R78" i="24"/>
  <c r="S78" i="24"/>
  <c r="T78" i="24"/>
  <c r="U78" i="24"/>
  <c r="W78" i="24"/>
  <c r="V83" i="24"/>
  <c r="Z115" i="17"/>
  <c r="AA115" i="17" s="1"/>
  <c r="X58" i="24"/>
  <c r="Y58" i="24" s="1"/>
  <c r="Z125" i="19" l="1"/>
  <c r="AA125" i="19" s="1"/>
  <c r="Z114" i="17" l="1"/>
  <c r="AA114" i="17" s="1"/>
  <c r="Z113" i="17"/>
  <c r="AA113" i="17" s="1"/>
  <c r="Z112" i="17"/>
  <c r="AA112" i="17" s="1"/>
  <c r="X57" i="24" l="1"/>
  <c r="Y57" i="24" s="1"/>
  <c r="R145" i="1"/>
  <c r="Z145" i="1" s="1"/>
  <c r="AA145" i="1" s="1"/>
  <c r="I145" i="1"/>
  <c r="T144" i="1"/>
  <c r="Z144" i="1" s="1"/>
  <c r="AA144" i="1" s="1"/>
  <c r="K144" i="1"/>
  <c r="T124" i="19"/>
  <c r="Z124" i="19" s="1"/>
  <c r="AA124" i="19" s="1"/>
  <c r="K124" i="19"/>
  <c r="Z143" i="1"/>
  <c r="AA143" i="1" s="1"/>
  <c r="X56" i="24"/>
  <c r="Y56" i="24" s="1"/>
  <c r="Z123" i="19"/>
  <c r="AA123" i="19" s="1"/>
  <c r="Z122" i="19"/>
  <c r="AA122" i="19" s="1"/>
  <c r="Z121" i="19" l="1"/>
  <c r="AA121" i="19" s="1"/>
  <c r="Z120" i="19"/>
  <c r="AA120" i="19" s="1"/>
  <c r="Z119" i="19"/>
  <c r="AA119" i="19" s="1"/>
  <c r="Z142" i="1" l="1"/>
  <c r="AA142" i="1" s="1"/>
  <c r="X55" i="24"/>
  <c r="X54" i="24"/>
  <c r="Y54" i="24" s="1"/>
  <c r="Z111" i="17"/>
  <c r="AA111" i="17" s="1"/>
  <c r="Y55" i="24" l="1"/>
  <c r="Z110" i="17"/>
  <c r="AA110" i="17" s="1"/>
  <c r="Z141" i="1"/>
  <c r="AA141" i="1" s="1"/>
  <c r="R34" i="19"/>
  <c r="I34" i="19"/>
  <c r="Z140" i="1"/>
  <c r="AA140" i="1" s="1"/>
  <c r="Z139" i="1"/>
  <c r="AA139" i="1" s="1"/>
  <c r="Z138" i="1"/>
  <c r="AA138" i="1" s="1"/>
  <c r="Z27" i="1"/>
  <c r="AA27" i="1" s="1"/>
  <c r="Z28" i="1"/>
  <c r="AA28" i="1" s="1"/>
  <c r="Z29" i="1"/>
  <c r="AA29" i="1" s="1"/>
  <c r="Z30" i="1"/>
  <c r="AA30" i="1" s="1"/>
  <c r="Z31" i="1"/>
  <c r="AA31" i="1" s="1"/>
  <c r="Z33" i="1"/>
  <c r="AA33" i="1" s="1"/>
  <c r="Z34" i="1"/>
  <c r="AA34" i="1" s="1"/>
  <c r="Z35" i="1"/>
  <c r="AA35" i="1" s="1"/>
  <c r="Z36" i="1"/>
  <c r="AA36" i="1" s="1"/>
  <c r="Z37" i="1"/>
  <c r="AA37" i="1" s="1"/>
  <c r="Z38" i="1"/>
  <c r="AA38" i="1" s="1"/>
  <c r="Z39" i="1"/>
  <c r="AA39" i="1" s="1"/>
  <c r="Z40" i="1"/>
  <c r="AA40" i="1" s="1"/>
  <c r="Z41" i="1"/>
  <c r="AA41" i="1" s="1"/>
  <c r="Z43" i="1"/>
  <c r="AA43" i="1" s="1"/>
  <c r="Z45" i="1"/>
  <c r="AA45" i="1" s="1"/>
  <c r="Z46" i="1"/>
  <c r="AA46" i="1" s="1"/>
  <c r="Z47" i="1"/>
  <c r="AA47" i="1" s="1"/>
  <c r="Z48" i="1"/>
  <c r="AA48" i="1" s="1"/>
  <c r="Z49" i="1"/>
  <c r="AA49" i="1" s="1"/>
  <c r="Z50" i="1"/>
  <c r="AA50" i="1" s="1"/>
  <c r="Z52" i="1"/>
  <c r="AA52" i="1" s="1"/>
  <c r="Z53" i="1"/>
  <c r="AA53" i="1" s="1"/>
  <c r="Z55" i="1"/>
  <c r="AA55" i="1" s="1"/>
  <c r="Z56" i="1"/>
  <c r="AA56" i="1" s="1"/>
  <c r="Z57" i="1"/>
  <c r="AA57" i="1" s="1"/>
  <c r="Z59" i="1"/>
  <c r="AA59" i="1" s="1"/>
  <c r="Z60" i="1"/>
  <c r="AA60" i="1" s="1"/>
  <c r="Z61" i="1"/>
  <c r="AA61" i="1" s="1"/>
  <c r="Z62" i="1"/>
  <c r="AA62" i="1" s="1"/>
  <c r="Z63" i="1"/>
  <c r="AA63" i="1" s="1"/>
  <c r="Z64" i="1"/>
  <c r="AA64" i="1" s="1"/>
  <c r="Z65" i="1"/>
  <c r="AA65" i="1" s="1"/>
  <c r="Z66" i="1"/>
  <c r="AA66" i="1" s="1"/>
  <c r="Z67" i="1"/>
  <c r="AA67" i="1" s="1"/>
  <c r="Z68" i="1"/>
  <c r="AA68" i="1" s="1"/>
  <c r="Z69" i="1"/>
  <c r="AA69" i="1" s="1"/>
  <c r="Z70" i="1"/>
  <c r="AA70" i="1" s="1"/>
  <c r="Z71" i="1"/>
  <c r="AA71" i="1" s="1"/>
  <c r="Z72" i="1"/>
  <c r="AA72" i="1" s="1"/>
  <c r="Z73" i="1"/>
  <c r="AA73" i="1" s="1"/>
  <c r="Z74" i="1"/>
  <c r="AA74" i="1" s="1"/>
  <c r="Z75" i="1"/>
  <c r="AA75" i="1" s="1"/>
  <c r="Z76" i="1"/>
  <c r="AA76" i="1" s="1"/>
  <c r="Z77" i="1"/>
  <c r="AA77" i="1" s="1"/>
  <c r="Z78" i="1"/>
  <c r="AA78" i="1" s="1"/>
  <c r="Z79" i="1"/>
  <c r="AA79" i="1" s="1"/>
  <c r="Z80" i="1"/>
  <c r="AA80" i="1" s="1"/>
  <c r="Z81" i="1"/>
  <c r="AA81" i="1" s="1"/>
  <c r="Z82" i="1"/>
  <c r="AA82" i="1" s="1"/>
  <c r="Z83" i="1"/>
  <c r="AA83" i="1" s="1"/>
  <c r="Z84" i="1"/>
  <c r="AA84" i="1" s="1"/>
  <c r="Z85" i="1"/>
  <c r="AA85" i="1" s="1"/>
  <c r="Z86" i="1"/>
  <c r="AA86" i="1" s="1"/>
  <c r="Z87" i="1"/>
  <c r="AA87" i="1" s="1"/>
  <c r="Z88" i="1"/>
  <c r="AA88" i="1" s="1"/>
  <c r="Z89" i="1"/>
  <c r="AA89" i="1" s="1"/>
  <c r="Z90" i="1"/>
  <c r="AA90" i="1" s="1"/>
  <c r="Z91" i="1"/>
  <c r="AA91" i="1" s="1"/>
  <c r="Z92" i="1"/>
  <c r="AA92" i="1" s="1"/>
  <c r="Z94" i="1"/>
  <c r="AA94" i="1" s="1"/>
  <c r="Z95" i="1"/>
  <c r="AA95" i="1" s="1"/>
  <c r="Z96" i="1"/>
  <c r="AA96" i="1" s="1"/>
  <c r="Z97" i="1"/>
  <c r="AA97" i="1" s="1"/>
  <c r="Z98" i="1"/>
  <c r="AA98" i="1" s="1"/>
  <c r="Z99" i="1"/>
  <c r="AA99" i="1" s="1"/>
  <c r="Z100" i="1"/>
  <c r="AA100" i="1" s="1"/>
  <c r="Z101" i="1"/>
  <c r="AA101" i="1" s="1"/>
  <c r="Z104" i="1"/>
  <c r="AA104" i="1" s="1"/>
  <c r="Z105" i="1"/>
  <c r="AA105" i="1" s="1"/>
  <c r="Z106" i="1"/>
  <c r="AA106" i="1" s="1"/>
  <c r="Z107" i="1"/>
  <c r="AA107" i="1" s="1"/>
  <c r="Z108" i="1"/>
  <c r="AA108" i="1" s="1"/>
  <c r="Z109" i="1"/>
  <c r="AA109" i="1" s="1"/>
  <c r="Z110" i="1"/>
  <c r="AA110" i="1" s="1"/>
  <c r="Z111" i="1"/>
  <c r="AA111" i="1" s="1"/>
  <c r="Z112" i="1"/>
  <c r="AA112" i="1" s="1"/>
  <c r="Z113" i="1"/>
  <c r="AA113" i="1" s="1"/>
  <c r="Z114" i="1"/>
  <c r="AA114" i="1" s="1"/>
  <c r="Z115" i="1"/>
  <c r="AA115" i="1" s="1"/>
  <c r="Z116" i="1"/>
  <c r="AA116" i="1" s="1"/>
  <c r="Z117" i="1"/>
  <c r="AA117" i="1" s="1"/>
  <c r="Z118" i="1"/>
  <c r="AA118" i="1" s="1"/>
  <c r="Z119" i="1"/>
  <c r="AA119" i="1" s="1"/>
  <c r="Z120" i="1"/>
  <c r="AA120" i="1" s="1"/>
  <c r="Z121" i="1"/>
  <c r="AA121" i="1" s="1"/>
  <c r="Z122" i="1"/>
  <c r="AA122" i="1" s="1"/>
  <c r="Z123" i="1"/>
  <c r="AA123" i="1" s="1"/>
  <c r="Z124" i="1"/>
  <c r="AA124" i="1" s="1"/>
  <c r="Z125" i="1"/>
  <c r="AA125" i="1" s="1"/>
  <c r="Z126" i="1"/>
  <c r="AA126" i="1" s="1"/>
  <c r="Z127" i="1"/>
  <c r="AA127" i="1" s="1"/>
  <c r="Z128" i="1"/>
  <c r="AA128" i="1" s="1"/>
  <c r="Z129" i="1"/>
  <c r="AA129" i="1" s="1"/>
  <c r="Z131" i="1"/>
  <c r="AA131" i="1" s="1"/>
  <c r="Z132" i="1"/>
  <c r="AA132" i="1" s="1"/>
  <c r="Z133" i="1"/>
  <c r="AA133" i="1" s="1"/>
  <c r="Z134" i="1"/>
  <c r="AA134" i="1" s="1"/>
  <c r="Z135" i="1"/>
  <c r="AA135" i="1" s="1"/>
  <c r="Z136" i="1"/>
  <c r="AA136" i="1" s="1"/>
  <c r="Z137" i="1"/>
  <c r="AA137" i="1" s="1"/>
  <c r="Z118" i="19"/>
  <c r="AA118" i="19" s="1"/>
  <c r="Z117" i="19"/>
  <c r="AA117" i="19" s="1"/>
  <c r="R109" i="17"/>
  <c r="Z109" i="17" s="1"/>
  <c r="AA109" i="17" s="1"/>
  <c r="I109" i="17"/>
  <c r="R116" i="19"/>
  <c r="Z116" i="19" s="1"/>
  <c r="AA116" i="19" s="1"/>
  <c r="I116" i="19"/>
  <c r="R115" i="19"/>
  <c r="Z115" i="19" s="1"/>
  <c r="AA115" i="19" s="1"/>
  <c r="I115" i="19"/>
  <c r="Z108" i="17"/>
  <c r="AA108" i="17" s="1"/>
  <c r="X53" i="24"/>
  <c r="Y53" i="24" s="1"/>
  <c r="Z114" i="19"/>
  <c r="AA114" i="19" s="1"/>
  <c r="Z113" i="19"/>
  <c r="AA113" i="19" s="1"/>
  <c r="X52" i="24"/>
  <c r="Y52" i="24" s="1"/>
  <c r="X51" i="24"/>
  <c r="Y51" i="24" s="1"/>
  <c r="Y130" i="1" l="1"/>
  <c r="Z130" i="1" s="1"/>
  <c r="AA130" i="1" s="1"/>
  <c r="P130" i="1"/>
  <c r="Z107" i="17"/>
  <c r="AA107" i="17" s="1"/>
  <c r="Z106" i="17"/>
  <c r="AA106" i="17" s="1"/>
  <c r="Z112" i="19"/>
  <c r="AA112" i="19" s="1"/>
  <c r="Z111" i="19"/>
  <c r="AA111" i="19" s="1"/>
  <c r="Z110" i="19"/>
  <c r="AA110" i="19" s="1"/>
  <c r="Y84" i="19"/>
  <c r="P84" i="19"/>
  <c r="Z105" i="17"/>
  <c r="AA105" i="17" s="1"/>
  <c r="X50" i="24" l="1"/>
  <c r="Y50" i="24" s="1"/>
  <c r="X49" i="24" l="1"/>
  <c r="Y49" i="24" s="1"/>
  <c r="X48" i="24"/>
  <c r="Y48" i="24" s="1"/>
  <c r="X47" i="24"/>
  <c r="Y47" i="24" s="1"/>
  <c r="Z104" i="17" l="1"/>
  <c r="AA104" i="17" s="1"/>
  <c r="Y84" i="17"/>
  <c r="P84" i="17"/>
  <c r="Z103" i="17" l="1"/>
  <c r="AA103" i="17" s="1"/>
  <c r="R10" i="1"/>
  <c r="I10" i="1"/>
  <c r="V20" i="24"/>
  <c r="V19" i="24"/>
  <c r="Z10" i="21"/>
  <c r="AA10" i="21" s="1"/>
  <c r="Z9" i="21"/>
  <c r="AA9" i="21" s="1"/>
  <c r="V80" i="24" l="1"/>
  <c r="V78" i="24"/>
  <c r="M6" i="21"/>
  <c r="L6" i="21"/>
  <c r="G6" i="21"/>
  <c r="M5" i="21"/>
  <c r="L5" i="21"/>
  <c r="G5" i="21"/>
  <c r="X46" i="24" l="1"/>
  <c r="Y46" i="24" s="1"/>
  <c r="Q109" i="19" l="1"/>
  <c r="Z109" i="19" s="1"/>
  <c r="AA109" i="19" s="1"/>
  <c r="H109" i="19"/>
  <c r="Z108" i="19"/>
  <c r="AA108" i="19" s="1"/>
  <c r="Z102" i="17"/>
  <c r="AA102" i="17" s="1"/>
  <c r="Z101" i="17" l="1"/>
  <c r="AA101" i="17" s="1"/>
  <c r="Z100" i="17"/>
  <c r="AA100" i="17" s="1"/>
  <c r="X10" i="18"/>
  <c r="Y10" i="18" s="1"/>
  <c r="Z107" i="19"/>
  <c r="AA107" i="19" s="1"/>
  <c r="V6" i="21"/>
  <c r="Q6" i="21"/>
  <c r="P6" i="21"/>
  <c r="V5" i="21"/>
  <c r="Q5" i="21"/>
  <c r="P5" i="21"/>
  <c r="X45" i="24"/>
  <c r="Y45" i="24" s="1"/>
  <c r="Z106" i="19"/>
  <c r="AA106" i="19" s="1"/>
  <c r="X44" i="24"/>
  <c r="Y44" i="24" s="1"/>
  <c r="Z105" i="19"/>
  <c r="AA105" i="19" s="1"/>
  <c r="Z99" i="17"/>
  <c r="AA99" i="17" s="1"/>
  <c r="Y44" i="17"/>
  <c r="P44" i="17"/>
  <c r="N17" i="24"/>
  <c r="N78" i="24" s="1"/>
  <c r="G17" i="24"/>
  <c r="X43" i="24"/>
  <c r="Y43" i="24" s="1"/>
  <c r="U5" i="19"/>
  <c r="L5" i="19"/>
  <c r="X42" i="24"/>
  <c r="Y42" i="24" s="1"/>
  <c r="X24" i="23"/>
  <c r="Y24" i="23" s="1"/>
  <c r="X41" i="24"/>
  <c r="Y41" i="24" s="1"/>
  <c r="Z98" i="17" l="1"/>
  <c r="AA98" i="17" s="1"/>
  <c r="Z104" i="19"/>
  <c r="AA104" i="19" s="1"/>
  <c r="Z97" i="17"/>
  <c r="AA97" i="17" s="1"/>
  <c r="Y60" i="17" l="1"/>
  <c r="P60" i="17"/>
  <c r="Z96" i="17"/>
  <c r="AA96" i="17" s="1"/>
  <c r="Z95" i="17" l="1"/>
  <c r="AA95" i="17" s="1"/>
  <c r="Y94" i="17"/>
  <c r="Z94" i="17" s="1"/>
  <c r="AA94" i="17" s="1"/>
  <c r="P94" i="17"/>
  <c r="G93" i="17"/>
  <c r="Y93" i="17"/>
  <c r="Z93" i="17" s="1"/>
  <c r="P93" i="17"/>
  <c r="Z92" i="17"/>
  <c r="AA92" i="17" s="1"/>
  <c r="Z91" i="17"/>
  <c r="AA91" i="17" s="1"/>
  <c r="Z103" i="19"/>
  <c r="AA103" i="19" s="1"/>
  <c r="Z90" i="17"/>
  <c r="AA90" i="17" s="1"/>
  <c r="Z89" i="17"/>
  <c r="AA89" i="17" s="1"/>
  <c r="Z88" i="17"/>
  <c r="AA88" i="17" s="1"/>
  <c r="Z87" i="17"/>
  <c r="AA87" i="17" s="1"/>
  <c r="Z86" i="17"/>
  <c r="K86" i="17"/>
  <c r="G86" i="17"/>
  <c r="AA86" i="17" l="1"/>
  <c r="AA93" i="17"/>
  <c r="X23" i="23"/>
  <c r="Y23" i="23" s="1"/>
  <c r="V102" i="19"/>
  <c r="G6" i="24"/>
  <c r="Q9" i="18" l="1"/>
  <c r="X9" i="18" s="1"/>
  <c r="I9" i="18"/>
  <c r="Z85" i="17"/>
  <c r="AA85" i="17" s="1"/>
  <c r="Z84" i="17"/>
  <c r="AA84" i="17" s="1"/>
  <c r="Z83" i="17" l="1"/>
  <c r="AA83" i="17" s="1"/>
  <c r="X22" i="23"/>
  <c r="Y22" i="23" s="1"/>
  <c r="X21" i="23" l="1"/>
  <c r="Y21" i="23" s="1"/>
  <c r="Z42" i="1"/>
  <c r="AA42" i="1" s="1"/>
  <c r="G65" i="17" l="1"/>
  <c r="X40" i="24"/>
  <c r="Y40" i="24" s="1"/>
  <c r="Z82" i="17"/>
  <c r="AA82" i="17" s="1"/>
  <c r="Z81" i="17"/>
  <c r="AA81" i="17" s="1"/>
  <c r="Z80" i="17"/>
  <c r="AA80" i="17" s="1"/>
  <c r="X39" i="24"/>
  <c r="Y39" i="24" s="1"/>
  <c r="X38" i="24"/>
  <c r="Y38" i="24" s="1"/>
  <c r="X37" i="24"/>
  <c r="Y37" i="24" s="1"/>
  <c r="X36" i="24"/>
  <c r="Y36" i="24" s="1"/>
  <c r="X35" i="24" l="1"/>
  <c r="Y35" i="24" s="1"/>
  <c r="X34" i="24" l="1"/>
  <c r="Y34" i="24" s="1"/>
  <c r="X33" i="24"/>
  <c r="Y33" i="24" s="1"/>
  <c r="Z102" i="19"/>
  <c r="AA102" i="19" s="1"/>
  <c r="Q10" i="1"/>
  <c r="H10" i="1"/>
  <c r="X32" i="24"/>
  <c r="Y32" i="24" s="1"/>
  <c r="X31" i="24" l="1"/>
  <c r="Y31" i="24" s="1"/>
  <c r="X30" i="24"/>
  <c r="Y30" i="24" s="1"/>
  <c r="Z101" i="19"/>
  <c r="AA101" i="19" s="1"/>
  <c r="Z100" i="19"/>
  <c r="AA100" i="19" s="1"/>
  <c r="Z99" i="19"/>
  <c r="AA99" i="19" s="1"/>
  <c r="X29" i="24"/>
  <c r="Y29" i="24" s="1"/>
  <c r="X77" i="24"/>
  <c r="Y77" i="24" s="1"/>
  <c r="X28" i="24"/>
  <c r="Y28" i="24" s="1"/>
  <c r="X27" i="24"/>
  <c r="Y27" i="24" s="1"/>
  <c r="X26" i="24"/>
  <c r="Y26" i="24" s="1"/>
  <c r="X25" i="24"/>
  <c r="Y25" i="24" s="1"/>
  <c r="X24" i="24"/>
  <c r="Y24" i="24" s="1"/>
  <c r="X23" i="24"/>
  <c r="Y23" i="24" s="1"/>
  <c r="X22" i="24"/>
  <c r="Y22" i="24" s="1"/>
  <c r="X21" i="24"/>
  <c r="Y21" i="24" s="1"/>
  <c r="X20" i="24"/>
  <c r="Y20" i="24" s="1"/>
  <c r="X19" i="24"/>
  <c r="G78" i="24"/>
  <c r="X18" i="24"/>
  <c r="Y18" i="24" s="1"/>
  <c r="X17" i="24"/>
  <c r="Y17" i="24" s="1"/>
  <c r="X16" i="24"/>
  <c r="Y16" i="24" s="1"/>
  <c r="X15" i="24"/>
  <c r="Y15" i="24" s="1"/>
  <c r="X14" i="24"/>
  <c r="Y14" i="24" s="1"/>
  <c r="X13" i="24"/>
  <c r="Y13" i="24" s="1"/>
  <c r="X12" i="24"/>
  <c r="Y12" i="24" s="1"/>
  <c r="X11" i="24"/>
  <c r="Y11" i="24" s="1"/>
  <c r="X10" i="24"/>
  <c r="Y10" i="24" s="1"/>
  <c r="X9" i="24"/>
  <c r="Y9" i="24" s="1"/>
  <c r="X8" i="24"/>
  <c r="Y8" i="24" s="1"/>
  <c r="X7" i="24"/>
  <c r="Y7" i="24" s="1"/>
  <c r="X6" i="24"/>
  <c r="Y6" i="24" s="1"/>
  <c r="X5" i="24"/>
  <c r="Z98" i="19"/>
  <c r="AA98" i="19" s="1"/>
  <c r="Z97" i="19"/>
  <c r="AA97" i="19" s="1"/>
  <c r="Z96" i="19"/>
  <c r="AA96" i="19" s="1"/>
  <c r="Y44" i="19"/>
  <c r="P44" i="19"/>
  <c r="Z95" i="19"/>
  <c r="AA95" i="19" s="1"/>
  <c r="Z94" i="19"/>
  <c r="AA94" i="19" s="1"/>
  <c r="Z93" i="19"/>
  <c r="AA93" i="19" s="1"/>
  <c r="Z92" i="19"/>
  <c r="AA92" i="19" s="1"/>
  <c r="Z91" i="19"/>
  <c r="AA91" i="19" s="1"/>
  <c r="Z79" i="17"/>
  <c r="AA79" i="17" s="1"/>
  <c r="Z90" i="19"/>
  <c r="AA90" i="19" s="1"/>
  <c r="Z89" i="19"/>
  <c r="AA89" i="19" s="1"/>
  <c r="Y72" i="19"/>
  <c r="P72" i="19"/>
  <c r="Z78" i="17"/>
  <c r="AA78" i="17" s="1"/>
  <c r="X78" i="24" l="1"/>
  <c r="Y19" i="24"/>
  <c r="Y5" i="24"/>
  <c r="Z88" i="19"/>
  <c r="AA88" i="19" s="1"/>
  <c r="R103" i="1"/>
  <c r="Z103" i="1" s="1"/>
  <c r="AA103" i="1" s="1"/>
  <c r="I103" i="1"/>
  <c r="V102" i="1"/>
  <c r="Z102" i="1" s="1"/>
  <c r="AA102" i="1" s="1"/>
  <c r="Y78" i="24" l="1"/>
  <c r="X20" i="23"/>
  <c r="Y20" i="23" s="1"/>
  <c r="W36" i="23"/>
  <c r="V36" i="23"/>
  <c r="U36" i="23"/>
  <c r="T36" i="23"/>
  <c r="S36" i="23"/>
  <c r="R36" i="23"/>
  <c r="Q36" i="23"/>
  <c r="P36" i="23"/>
  <c r="O36" i="23"/>
  <c r="N36" i="23"/>
  <c r="M36" i="23"/>
  <c r="L36" i="23"/>
  <c r="K36" i="23"/>
  <c r="J36" i="23"/>
  <c r="I36" i="23"/>
  <c r="H36" i="23"/>
  <c r="G36" i="23"/>
  <c r="X19" i="23"/>
  <c r="Y19" i="23" s="1"/>
  <c r="X18" i="23"/>
  <c r="Y18" i="23" s="1"/>
  <c r="X17" i="23"/>
  <c r="Y17" i="23" s="1"/>
  <c r="X16" i="23"/>
  <c r="Y16" i="23" s="1"/>
  <c r="X15" i="23"/>
  <c r="Y15" i="23" s="1"/>
  <c r="X14" i="23"/>
  <c r="Y14" i="23" s="1"/>
  <c r="X13" i="23"/>
  <c r="Y13" i="23" s="1"/>
  <c r="X12" i="23"/>
  <c r="Y12" i="23" s="1"/>
  <c r="X11" i="23"/>
  <c r="Y11" i="23" s="1"/>
  <c r="X10" i="23"/>
  <c r="Y10" i="23" s="1"/>
  <c r="X9" i="23"/>
  <c r="Y9" i="23" s="1"/>
  <c r="X8" i="23"/>
  <c r="Y8" i="23" s="1"/>
  <c r="X7" i="23"/>
  <c r="Y7" i="23" s="1"/>
  <c r="X6" i="23"/>
  <c r="Y6" i="23" s="1"/>
  <c r="X5" i="23"/>
  <c r="Y5" i="23" s="1"/>
  <c r="Y17" i="22"/>
  <c r="X17" i="22"/>
  <c r="W17" i="22"/>
  <c r="U17" i="22"/>
  <c r="T17" i="22"/>
  <c r="P17" i="22"/>
  <c r="O17" i="22"/>
  <c r="N17" i="22"/>
  <c r="L17" i="22"/>
  <c r="K17" i="22"/>
  <c r="G17" i="22"/>
  <c r="Z16" i="22"/>
  <c r="AA16" i="22" s="1"/>
  <c r="Z12" i="22"/>
  <c r="AA12" i="22" s="1"/>
  <c r="Z11" i="22"/>
  <c r="AA11" i="22" s="1"/>
  <c r="R17" i="22"/>
  <c r="I17" i="22"/>
  <c r="H17" i="22"/>
  <c r="Z8" i="22"/>
  <c r="AA8" i="22" s="1"/>
  <c r="V7" i="22"/>
  <c r="M7" i="22"/>
  <c r="M17" i="22" s="1"/>
  <c r="Z6" i="22"/>
  <c r="AA6" i="22" s="1"/>
  <c r="Z5" i="22"/>
  <c r="AA5" i="22" s="1"/>
  <c r="Y14" i="21"/>
  <c r="X14" i="21"/>
  <c r="W14" i="21"/>
  <c r="U14" i="21"/>
  <c r="T14" i="21"/>
  <c r="O14" i="21"/>
  <c r="N14" i="21"/>
  <c r="M14" i="21"/>
  <c r="L14" i="21"/>
  <c r="K14" i="21"/>
  <c r="J14" i="21"/>
  <c r="I14" i="21"/>
  <c r="H14" i="21"/>
  <c r="G14" i="21"/>
  <c r="Z8" i="21"/>
  <c r="AA8" i="21" s="1"/>
  <c r="Z7" i="21"/>
  <c r="AA7" i="21" s="1"/>
  <c r="X36" i="23" l="1"/>
  <c r="Y36" i="23"/>
  <c r="Z10" i="22"/>
  <c r="AA10" i="22" s="1"/>
  <c r="V17" i="22"/>
  <c r="Z9" i="22"/>
  <c r="AA9" i="22" s="1"/>
  <c r="V14" i="21"/>
  <c r="P14" i="21"/>
  <c r="Q14" i="21"/>
  <c r="Q17" i="22"/>
  <c r="Z7" i="22"/>
  <c r="Z5" i="21"/>
  <c r="Z6" i="21"/>
  <c r="AA6" i="21" s="1"/>
  <c r="Z87" i="19"/>
  <c r="AA87" i="19" s="1"/>
  <c r="Y86" i="19"/>
  <c r="Z86" i="19" s="1"/>
  <c r="AA86" i="19" s="1"/>
  <c r="P86" i="19"/>
  <c r="Z85" i="19"/>
  <c r="AA85" i="19" s="1"/>
  <c r="W11" i="20"/>
  <c r="V11" i="20"/>
  <c r="U11" i="20"/>
  <c r="S11" i="20"/>
  <c r="R11" i="20"/>
  <c r="P11" i="20"/>
  <c r="O11" i="20"/>
  <c r="N11" i="20"/>
  <c r="K11" i="20"/>
  <c r="J11" i="20"/>
  <c r="I11" i="20"/>
  <c r="G11" i="20"/>
  <c r="X10" i="20"/>
  <c r="Y10" i="20" s="1"/>
  <c r="T9" i="20"/>
  <c r="P9" i="20"/>
  <c r="H9" i="20"/>
  <c r="H11" i="20" s="1"/>
  <c r="T7" i="20"/>
  <c r="M7" i="20"/>
  <c r="M11" i="20" s="1"/>
  <c r="L7" i="20"/>
  <c r="L11" i="20" s="1"/>
  <c r="X6" i="20"/>
  <c r="Y6" i="20" s="1"/>
  <c r="T5" i="20"/>
  <c r="X168" i="19"/>
  <c r="W168" i="19"/>
  <c r="U168" i="19"/>
  <c r="T168" i="19"/>
  <c r="O168" i="19"/>
  <c r="N168" i="19"/>
  <c r="M168" i="19"/>
  <c r="L168" i="19"/>
  <c r="K168" i="19"/>
  <c r="G168" i="19"/>
  <c r="Z84" i="19"/>
  <c r="AA84" i="19" s="1"/>
  <c r="Z83" i="19"/>
  <c r="AA83" i="19" s="1"/>
  <c r="Z82" i="19"/>
  <c r="AA82" i="19" s="1"/>
  <c r="Y81" i="19"/>
  <c r="Z81" i="19" s="1"/>
  <c r="AA81" i="19" s="1"/>
  <c r="P81" i="19"/>
  <c r="Z80" i="19"/>
  <c r="AA80" i="19" s="1"/>
  <c r="Z79" i="19"/>
  <c r="AA79" i="19" s="1"/>
  <c r="Z78" i="19"/>
  <c r="AA78" i="19" s="1"/>
  <c r="Z77" i="19"/>
  <c r="AA77" i="19" s="1"/>
  <c r="Y76" i="19"/>
  <c r="Z76" i="19" s="1"/>
  <c r="AA76" i="19" s="1"/>
  <c r="P76" i="19"/>
  <c r="Z75" i="19"/>
  <c r="AA75" i="19" s="1"/>
  <c r="Y74" i="19"/>
  <c r="Z74" i="19" s="1"/>
  <c r="AA74" i="19" s="1"/>
  <c r="P74" i="19"/>
  <c r="Z73" i="19"/>
  <c r="AA73" i="19" s="1"/>
  <c r="Z72" i="19"/>
  <c r="AA72" i="19" s="1"/>
  <c r="Z71" i="19"/>
  <c r="AA71" i="19" s="1"/>
  <c r="Z70" i="19"/>
  <c r="AA70" i="19" s="1"/>
  <c r="Z69" i="19"/>
  <c r="AA69" i="19" s="1"/>
  <c r="Z68" i="19"/>
  <c r="AA68" i="19" s="1"/>
  <c r="Z67" i="19"/>
  <c r="AA67" i="19" s="1"/>
  <c r="Z66" i="19"/>
  <c r="AA66" i="19" s="1"/>
  <c r="Z65" i="19"/>
  <c r="AA65" i="19" s="1"/>
  <c r="Y64" i="19"/>
  <c r="Z64" i="19" s="1"/>
  <c r="AA64" i="19" s="1"/>
  <c r="P64" i="19"/>
  <c r="Y63" i="19"/>
  <c r="Z63" i="19" s="1"/>
  <c r="AA63" i="19" s="1"/>
  <c r="P63" i="19"/>
  <c r="Z62" i="19"/>
  <c r="AA62" i="19" s="1"/>
  <c r="Z61" i="19"/>
  <c r="AA61" i="19" s="1"/>
  <c r="Z60" i="19"/>
  <c r="AA60" i="19" s="1"/>
  <c r="Z59" i="19"/>
  <c r="AA59" i="19" s="1"/>
  <c r="Z58" i="19"/>
  <c r="AA58" i="19" s="1"/>
  <c r="Z57" i="19"/>
  <c r="AA57" i="19" s="1"/>
  <c r="Z56" i="19"/>
  <c r="AA56" i="19" s="1"/>
  <c r="Y55" i="19"/>
  <c r="Z55" i="19" s="1"/>
  <c r="AA55" i="19" s="1"/>
  <c r="P55" i="19"/>
  <c r="Z54" i="19"/>
  <c r="AA54" i="19" s="1"/>
  <c r="Z53" i="19"/>
  <c r="AA53" i="19" s="1"/>
  <c r="Z52" i="19"/>
  <c r="AA52" i="19" s="1"/>
  <c r="Z51" i="19"/>
  <c r="AA51" i="19" s="1"/>
  <c r="Y50" i="19"/>
  <c r="Z50" i="19" s="1"/>
  <c r="AA50" i="19" s="1"/>
  <c r="P50" i="19"/>
  <c r="Y49" i="19"/>
  <c r="Z49" i="19" s="1"/>
  <c r="AA49" i="19" s="1"/>
  <c r="P49" i="19"/>
  <c r="Y48" i="19"/>
  <c r="Z48" i="19" s="1"/>
  <c r="AA48" i="19" s="1"/>
  <c r="P48" i="19"/>
  <c r="Z47" i="19"/>
  <c r="AA47" i="19" s="1"/>
  <c r="Y46" i="19"/>
  <c r="Z46" i="19" s="1"/>
  <c r="AA46" i="19" s="1"/>
  <c r="P46" i="19"/>
  <c r="Z45" i="19"/>
  <c r="AA45" i="19" s="1"/>
  <c r="Z44" i="19"/>
  <c r="AA44" i="19" s="1"/>
  <c r="Z43" i="19"/>
  <c r="AA43" i="19" s="1"/>
  <c r="Z42" i="19"/>
  <c r="AA42" i="19" s="1"/>
  <c r="Z41" i="19"/>
  <c r="AA41" i="19" s="1"/>
  <c r="Z40" i="19"/>
  <c r="AA40" i="19" s="1"/>
  <c r="Z39" i="19"/>
  <c r="AA39" i="19" s="1"/>
  <c r="Z38" i="19"/>
  <c r="AA38" i="19" s="1"/>
  <c r="Z37" i="19"/>
  <c r="AA37" i="19" s="1"/>
  <c r="Z36" i="19"/>
  <c r="AA36" i="19" s="1"/>
  <c r="Z35" i="19"/>
  <c r="AA35" i="19" s="1"/>
  <c r="Y34" i="19"/>
  <c r="P34" i="19"/>
  <c r="Y33" i="19"/>
  <c r="Z33" i="19" s="1"/>
  <c r="AA33" i="19" s="1"/>
  <c r="P33" i="19"/>
  <c r="Y32" i="19"/>
  <c r="Z32" i="19" s="1"/>
  <c r="AA32" i="19" s="1"/>
  <c r="P32" i="19"/>
  <c r="Y31" i="19"/>
  <c r="Z31" i="19" s="1"/>
  <c r="AA31" i="19" s="1"/>
  <c r="P31" i="19"/>
  <c r="Z30" i="19"/>
  <c r="AA30" i="19" s="1"/>
  <c r="Z29" i="19"/>
  <c r="AA29" i="19" s="1"/>
  <c r="Z28" i="19"/>
  <c r="AA28" i="19" s="1"/>
  <c r="Q27" i="19"/>
  <c r="Z27" i="19" s="1"/>
  <c r="AA27" i="19" s="1"/>
  <c r="H27" i="19"/>
  <c r="Z26" i="19"/>
  <c r="AA26" i="19" s="1"/>
  <c r="Z25" i="19"/>
  <c r="AA25" i="19" s="1"/>
  <c r="Z24" i="19"/>
  <c r="AA24" i="19" s="1"/>
  <c r="Z23" i="19"/>
  <c r="AA23" i="19" s="1"/>
  <c r="Y22" i="19"/>
  <c r="Z22" i="19" s="1"/>
  <c r="AA22" i="19" s="1"/>
  <c r="P22" i="19"/>
  <c r="Z21" i="19"/>
  <c r="AA21" i="19" s="1"/>
  <c r="Z20" i="19"/>
  <c r="AA20" i="19" s="1"/>
  <c r="Z19" i="19"/>
  <c r="AA19" i="19" s="1"/>
  <c r="Z18" i="19"/>
  <c r="AA18" i="19" s="1"/>
  <c r="Z17" i="19"/>
  <c r="AA17" i="19" s="1"/>
  <c r="Z16" i="19"/>
  <c r="AA16" i="19" s="1"/>
  <c r="Z15" i="19"/>
  <c r="AA15" i="19" s="1"/>
  <c r="Z14" i="19"/>
  <c r="AA14" i="19" s="1"/>
  <c r="Z13" i="19"/>
  <c r="AA13" i="19" s="1"/>
  <c r="Z12" i="19"/>
  <c r="AA12" i="19" s="1"/>
  <c r="Z11" i="19"/>
  <c r="AA11" i="19" s="1"/>
  <c r="Z10" i="19"/>
  <c r="AA10" i="19" s="1"/>
  <c r="Z9" i="19"/>
  <c r="AA9" i="19" s="1"/>
  <c r="V8" i="19"/>
  <c r="Z7" i="19"/>
  <c r="AA7" i="19" s="1"/>
  <c r="Z6" i="19"/>
  <c r="AA6" i="19" s="1"/>
  <c r="V14" i="18"/>
  <c r="U14" i="18"/>
  <c r="S14" i="18"/>
  <c r="R14" i="18"/>
  <c r="P14" i="18"/>
  <c r="N14" i="18"/>
  <c r="M14" i="18"/>
  <c r="L14" i="18"/>
  <c r="K14" i="18"/>
  <c r="J14" i="18"/>
  <c r="H14" i="18"/>
  <c r="G14" i="18"/>
  <c r="Q14" i="18"/>
  <c r="I14" i="18"/>
  <c r="W8" i="18"/>
  <c r="X8" i="18" s="1"/>
  <c r="Y8" i="18" s="1"/>
  <c r="O8" i="18"/>
  <c r="W7" i="18"/>
  <c r="X7" i="18" s="1"/>
  <c r="Y7" i="18" s="1"/>
  <c r="O7" i="18"/>
  <c r="X6" i="18"/>
  <c r="Y6" i="18" s="1"/>
  <c r="T5" i="18"/>
  <c r="T14" i="18" s="1"/>
  <c r="X163" i="17"/>
  <c r="W163" i="17"/>
  <c r="V163" i="17"/>
  <c r="U163" i="17"/>
  <c r="R163" i="17"/>
  <c r="O163" i="17"/>
  <c r="N163" i="17"/>
  <c r="M163" i="17"/>
  <c r="L163" i="17"/>
  <c r="K163" i="17"/>
  <c r="I163" i="17"/>
  <c r="G163" i="17"/>
  <c r="Z77" i="17"/>
  <c r="AA77" i="17" s="1"/>
  <c r="Z76" i="17"/>
  <c r="AA76" i="17" s="1"/>
  <c r="Z75" i="17"/>
  <c r="AA75" i="17" s="1"/>
  <c r="Z74" i="17"/>
  <c r="AA74" i="17" s="1"/>
  <c r="Z73" i="17"/>
  <c r="AA73" i="17" s="1"/>
  <c r="Z72" i="17"/>
  <c r="AA72" i="17" s="1"/>
  <c r="Z71" i="17"/>
  <c r="AA71" i="17" s="1"/>
  <c r="Z70" i="17"/>
  <c r="AA70" i="17" s="1"/>
  <c r="Z69" i="17"/>
  <c r="AA69" i="17" s="1"/>
  <c r="Z68" i="17"/>
  <c r="AA68" i="17" s="1"/>
  <c r="Z67" i="17"/>
  <c r="AA67" i="17" s="1"/>
  <c r="Z66" i="17"/>
  <c r="AA66" i="17" s="1"/>
  <c r="Z65" i="17"/>
  <c r="AA65" i="17" s="1"/>
  <c r="Z64" i="17"/>
  <c r="AA64" i="17" s="1"/>
  <c r="Z63" i="17"/>
  <c r="AA63" i="17" s="1"/>
  <c r="Z62" i="17"/>
  <c r="AA62" i="17" s="1"/>
  <c r="Z61" i="17"/>
  <c r="AA61" i="17" s="1"/>
  <c r="Z60" i="17"/>
  <c r="AA60" i="17" s="1"/>
  <c r="Y59" i="17"/>
  <c r="Z59" i="17" s="1"/>
  <c r="AA59" i="17" s="1"/>
  <c r="P59" i="17"/>
  <c r="Z58" i="17"/>
  <c r="AA58" i="17" s="1"/>
  <c r="Y57" i="17"/>
  <c r="Z57" i="17" s="1"/>
  <c r="AA57" i="17" s="1"/>
  <c r="P57" i="17"/>
  <c r="Y56" i="17"/>
  <c r="Z56" i="17" s="1"/>
  <c r="AA56" i="17" s="1"/>
  <c r="P56" i="17"/>
  <c r="Y55" i="17"/>
  <c r="Z55" i="17" s="1"/>
  <c r="AA55" i="17" s="1"/>
  <c r="P55" i="17"/>
  <c r="Z54" i="17"/>
  <c r="AA54" i="17" s="1"/>
  <c r="Z53" i="17"/>
  <c r="AA53" i="17" s="1"/>
  <c r="Z52" i="17"/>
  <c r="AA52" i="17" s="1"/>
  <c r="Z51" i="17"/>
  <c r="AA51" i="17" s="1"/>
  <c r="Z50" i="17"/>
  <c r="AA50" i="17" s="1"/>
  <c r="Y49" i="17"/>
  <c r="Z49" i="17" s="1"/>
  <c r="AA49" i="17" s="1"/>
  <c r="P49" i="17"/>
  <c r="Z48" i="17"/>
  <c r="AA48" i="17" s="1"/>
  <c r="Y47" i="17"/>
  <c r="Z47" i="17" s="1"/>
  <c r="AA47" i="17" s="1"/>
  <c r="P47" i="17"/>
  <c r="Y46" i="17"/>
  <c r="Z46" i="17" s="1"/>
  <c r="AA46" i="17" s="1"/>
  <c r="P46" i="17"/>
  <c r="Z45" i="17"/>
  <c r="AA45" i="17" s="1"/>
  <c r="Z44" i="17"/>
  <c r="AA44" i="17" s="1"/>
  <c r="Z43" i="17"/>
  <c r="AA43" i="17" s="1"/>
  <c r="Z42" i="17"/>
  <c r="AA42" i="17" s="1"/>
  <c r="Y41" i="17"/>
  <c r="Z41" i="17" s="1"/>
  <c r="AA41" i="17" s="1"/>
  <c r="P41" i="17"/>
  <c r="Z40" i="17"/>
  <c r="AA40" i="17" s="1"/>
  <c r="Y39" i="17"/>
  <c r="Z39" i="17" s="1"/>
  <c r="AA39" i="17" s="1"/>
  <c r="P39" i="17"/>
  <c r="Z38" i="17"/>
  <c r="AA38" i="17" s="1"/>
  <c r="Z37" i="17"/>
  <c r="AA37" i="17" s="1"/>
  <c r="Y36" i="17"/>
  <c r="Z36" i="17" s="1"/>
  <c r="AA36" i="17" s="1"/>
  <c r="P36" i="17"/>
  <c r="Y35" i="17"/>
  <c r="Z35" i="17" s="1"/>
  <c r="AA35" i="17" s="1"/>
  <c r="P35" i="17"/>
  <c r="Z34" i="17"/>
  <c r="AA34" i="17" s="1"/>
  <c r="Y33" i="17"/>
  <c r="Z33" i="17" s="1"/>
  <c r="AA33" i="17" s="1"/>
  <c r="P33" i="17"/>
  <c r="Z32" i="17"/>
  <c r="AA32" i="17" s="1"/>
  <c r="Z31" i="17"/>
  <c r="AA31" i="17" s="1"/>
  <c r="Z30" i="17"/>
  <c r="AA30" i="17" s="1"/>
  <c r="Z29" i="17"/>
  <c r="AA29" i="17" s="1"/>
  <c r="P29" i="17"/>
  <c r="Z28" i="17"/>
  <c r="AA28" i="17" s="1"/>
  <c r="Y27" i="17"/>
  <c r="Z27" i="17" s="1"/>
  <c r="AA27" i="17" s="1"/>
  <c r="P27" i="17"/>
  <c r="Y26" i="17"/>
  <c r="Z26" i="17" s="1"/>
  <c r="AA26" i="17" s="1"/>
  <c r="P26" i="17"/>
  <c r="Z25" i="17"/>
  <c r="AA25" i="17" s="1"/>
  <c r="Y24" i="17"/>
  <c r="P24" i="17"/>
  <c r="Z23" i="17"/>
  <c r="AA23" i="17" s="1"/>
  <c r="Z22" i="17"/>
  <c r="AA22" i="17" s="1"/>
  <c r="Z21" i="17"/>
  <c r="AA21" i="17" s="1"/>
  <c r="Z20" i="17"/>
  <c r="AA20" i="17" s="1"/>
  <c r="Z19" i="17"/>
  <c r="AA19" i="17" s="1"/>
  <c r="Z18" i="17"/>
  <c r="AA18" i="17" s="1"/>
  <c r="Z17" i="17"/>
  <c r="AA17" i="17" s="1"/>
  <c r="Z16" i="17"/>
  <c r="AA16" i="17" s="1"/>
  <c r="Z15" i="17"/>
  <c r="AA15" i="17" s="1"/>
  <c r="Z14" i="17"/>
  <c r="AA14" i="17" s="1"/>
  <c r="Z13" i="17"/>
  <c r="AA13" i="17" s="1"/>
  <c r="Z12" i="17"/>
  <c r="AA12" i="17" s="1"/>
  <c r="Z11" i="17"/>
  <c r="AA11" i="17" s="1"/>
  <c r="Z10" i="17"/>
  <c r="AA10" i="17" s="1"/>
  <c r="Z9" i="17"/>
  <c r="AA9" i="17" s="1"/>
  <c r="Z8" i="17"/>
  <c r="AA8" i="17" s="1"/>
  <c r="Z7" i="17"/>
  <c r="AA7" i="17" s="1"/>
  <c r="Q163" i="17"/>
  <c r="H163" i="17"/>
  <c r="Z5" i="17"/>
  <c r="AA5" i="17" s="1"/>
  <c r="O14" i="18" l="1"/>
  <c r="Z17" i="22"/>
  <c r="AA7" i="22"/>
  <c r="AA17" i="22" s="1"/>
  <c r="X9" i="20"/>
  <c r="Y9" i="20" s="1"/>
  <c r="T11" i="20"/>
  <c r="X7" i="20"/>
  <c r="Y7" i="20" s="1"/>
  <c r="AA5" i="21"/>
  <c r="AA14" i="21" s="1"/>
  <c r="Z14" i="21"/>
  <c r="I168" i="19"/>
  <c r="V168" i="19"/>
  <c r="R168" i="19"/>
  <c r="Z5" i="19"/>
  <c r="AA5" i="19" s="1"/>
  <c r="P168" i="19"/>
  <c r="X5" i="20"/>
  <c r="Q11" i="20"/>
  <c r="H168" i="19"/>
  <c r="Y168" i="19"/>
  <c r="Q168" i="19"/>
  <c r="Z34" i="19"/>
  <c r="AA34" i="19" s="1"/>
  <c r="Z8" i="19"/>
  <c r="AA8" i="19" s="1"/>
  <c r="X5" i="18"/>
  <c r="W14" i="18"/>
  <c r="Y9" i="18"/>
  <c r="Y163" i="17"/>
  <c r="P163" i="17"/>
  <c r="Z24" i="17"/>
  <c r="AA24" i="17" s="1"/>
  <c r="Z6" i="17"/>
  <c r="AA6" i="17" s="1"/>
  <c r="AA168" i="19" l="1"/>
  <c r="X11" i="20"/>
  <c r="Y5" i="20"/>
  <c r="Y11" i="20" s="1"/>
  <c r="Z168" i="19"/>
  <c r="X14" i="18"/>
  <c r="Y5" i="18"/>
  <c r="Y14" i="18" s="1"/>
  <c r="AA163" i="17"/>
  <c r="Z163" i="17"/>
  <c r="Y93" i="1" l="1"/>
  <c r="Z93" i="1" s="1"/>
  <c r="AA93" i="1" s="1"/>
  <c r="P93" i="1"/>
  <c r="R58" i="1" l="1"/>
  <c r="Z58" i="1" s="1"/>
  <c r="AA58" i="1" s="1"/>
  <c r="I58" i="1"/>
  <c r="Y54" i="1"/>
  <c r="Z54" i="1" s="1"/>
  <c r="AA54" i="1" s="1"/>
  <c r="P54" i="1"/>
  <c r="Q51" i="1" l="1"/>
  <c r="Z51" i="1" s="1"/>
  <c r="AA51" i="1" s="1"/>
  <c r="H51" i="1"/>
  <c r="Y44" i="1" l="1"/>
  <c r="Z44" i="1" s="1"/>
  <c r="AA44" i="1" s="1"/>
  <c r="P44" i="1"/>
  <c r="K185" i="1" l="1"/>
  <c r="L185" i="1"/>
  <c r="M185" i="1"/>
  <c r="N185" i="1"/>
  <c r="O185" i="1"/>
  <c r="P185" i="1"/>
  <c r="T185" i="1"/>
  <c r="U185" i="1"/>
  <c r="V185" i="1"/>
  <c r="W185" i="1"/>
  <c r="X185" i="1"/>
  <c r="Y185" i="1"/>
  <c r="R32" i="1"/>
  <c r="Z32" i="1" s="1"/>
  <c r="AA32" i="1" s="1"/>
  <c r="I32" i="1"/>
  <c r="R26" i="1"/>
  <c r="Z26" i="1" s="1"/>
  <c r="AA26" i="1" s="1"/>
  <c r="I26" i="1"/>
  <c r="Z25" i="1" l="1"/>
  <c r="AA25" i="1" s="1"/>
  <c r="Z24" i="1" l="1"/>
  <c r="AA24" i="1" s="1"/>
  <c r="R23" i="1"/>
  <c r="I23" i="1"/>
  <c r="I185" i="1" s="1"/>
  <c r="Z22" i="1"/>
  <c r="AA22" i="1" s="1"/>
  <c r="Z21" i="1"/>
  <c r="AA21" i="1" s="1"/>
  <c r="Z20" i="1"/>
  <c r="AA20" i="1" s="1"/>
  <c r="Z19" i="1"/>
  <c r="AA19" i="1" s="1"/>
  <c r="Q185" i="1"/>
  <c r="H185" i="1"/>
  <c r="Z18" i="1"/>
  <c r="AA18" i="1" s="1"/>
  <c r="Z17" i="1"/>
  <c r="AA17" i="1" s="1"/>
  <c r="G185" i="1"/>
  <c r="Z16" i="1"/>
  <c r="AA16" i="1" s="1"/>
  <c r="Z15" i="1"/>
  <c r="AA15" i="1" s="1"/>
  <c r="Z14" i="1"/>
  <c r="AA14" i="1" s="1"/>
  <c r="Z23" i="1" l="1"/>
  <c r="AA23" i="1" s="1"/>
  <c r="R185" i="1"/>
  <c r="Z13" i="1"/>
  <c r="AA13" i="1" s="1"/>
  <c r="Z12" i="1"/>
  <c r="AA12" i="1" s="1"/>
  <c r="Z11" i="1" l="1"/>
  <c r="AA11" i="1" s="1"/>
  <c r="Z6" i="1"/>
  <c r="AA6" i="1" s="1"/>
  <c r="Z7" i="1"/>
  <c r="AA7" i="1" s="1"/>
  <c r="Z8" i="1"/>
  <c r="AA8" i="1" s="1"/>
  <c r="Z9" i="1"/>
  <c r="AA9" i="1" s="1"/>
  <c r="Z5" i="1"/>
  <c r="Z10" i="1" l="1"/>
  <c r="AA10" i="1" s="1"/>
  <c r="AA5" i="1"/>
  <c r="AA185" i="1" l="1"/>
  <c r="Z185" i="1"/>
</calcChain>
</file>

<file path=xl/sharedStrings.xml><?xml version="1.0" encoding="utf-8"?>
<sst xmlns="http://schemas.openxmlformats.org/spreadsheetml/2006/main" count="2442" uniqueCount="1480">
  <si>
    <t>№ п/п</t>
  </si>
  <si>
    <t>Номер договору</t>
  </si>
  <si>
    <t>КЕКВ 2210</t>
  </si>
  <si>
    <t>Предмет договору</t>
  </si>
  <si>
    <t>Загальна сума договору</t>
  </si>
  <si>
    <t>НСЗУ</t>
  </si>
  <si>
    <t>Разом сплачено</t>
  </si>
  <si>
    <t>в тому числі сума договору по:</t>
  </si>
  <si>
    <t>КЕКВ 2220</t>
  </si>
  <si>
    <t>КЕКВ 2230</t>
  </si>
  <si>
    <t>КЕКВ 2240</t>
  </si>
  <si>
    <t>КЕКВ 2271</t>
  </si>
  <si>
    <t>КЕКВ 2272</t>
  </si>
  <si>
    <t>КЕКВ 2273</t>
  </si>
  <si>
    <t>РАЗОМ КЕКВ 2210</t>
  </si>
  <si>
    <t>РАЗОМ КЕКВ 2220</t>
  </si>
  <si>
    <t>РАЗОМ КЕКВ 2230</t>
  </si>
  <si>
    <t>РАЗОМ КЕКВ 2240</t>
  </si>
  <si>
    <t>РАЗОМ КЕКВ 2271</t>
  </si>
  <si>
    <t>РАЗОМ КЕКВ 2272</t>
  </si>
  <si>
    <t>РАЗОМ КЕКВ 2273</t>
  </si>
  <si>
    <t>Термін дії</t>
  </si>
  <si>
    <t>Дата дого-вору</t>
  </si>
  <si>
    <t>ТОВ "Телекомунікаційна компанія "ЛІНК"</t>
  </si>
  <si>
    <t>АТ "ПОЛТАВАОБЛЕНЕРГО"</t>
  </si>
  <si>
    <t>розподіл електричної енергії (послуги із забезпечення перетікань реактивної електричної енергії)</t>
  </si>
  <si>
    <t>ТОВ "Пожежне спостерігання"</t>
  </si>
  <si>
    <t>КЕКВ 3210</t>
  </si>
  <si>
    <t>РАЗОМ КЕКВ 3210</t>
  </si>
  <si>
    <t>31.12.23</t>
  </si>
  <si>
    <t>КЕКВ 2282</t>
  </si>
  <si>
    <t>РАЗОМ КЕКВ 2282</t>
  </si>
  <si>
    <t>ПП "ЛАНГ"</t>
  </si>
  <si>
    <t>01</t>
  </si>
  <si>
    <t>ФОП Репрінцева С.П.</t>
  </si>
  <si>
    <t>банка для подачі води та повітря для гнучких ендоскопів</t>
  </si>
  <si>
    <t>ПП "Такт-сервіс"</t>
  </si>
  <si>
    <t>екселліо DP-25 апарат контрольно-касовий електронний; картка службова</t>
  </si>
  <si>
    <t>ФОП Жаденов М.О.</t>
  </si>
  <si>
    <t>труба, муфта, коліно, трійник, кран, хомут, шуруп, дюбель, підводка, гофра, силікон</t>
  </si>
  <si>
    <t>кріплення, муфта, труба, трійник, фільтр, заглушка</t>
  </si>
  <si>
    <t>4246</t>
  </si>
  <si>
    <t>31.12.24</t>
  </si>
  <si>
    <t>послуги з централізованого водопостачання</t>
  </si>
  <si>
    <t>4246100</t>
  </si>
  <si>
    <t>послуги з централізованого водовідведення</t>
  </si>
  <si>
    <t>914</t>
  </si>
  <si>
    <t>вуглекислота, аргон</t>
  </si>
  <si>
    <t>ТОВ "СЕТІЛАЙТ"</t>
  </si>
  <si>
    <t>доступ до мережі інтернет</t>
  </si>
  <si>
    <t>75000465634/БО 2023</t>
  </si>
  <si>
    <t>ПрАТ "Київстар"</t>
  </si>
  <si>
    <t xml:space="preserve">послуги зв'язку </t>
  </si>
  <si>
    <t>21500106РЕ</t>
  </si>
  <si>
    <t>послуги оператора збору даних комерційного обліку</t>
  </si>
  <si>
    <t>електрична енергія</t>
  </si>
  <si>
    <t>теплова енергія</t>
  </si>
  <si>
    <t>ремонт і технічне обслуговування автоматичної пожежної сигналізації у відділенні анестезіології з ліжками інтенсивної терапії та операційні блоки</t>
  </si>
  <si>
    <t xml:space="preserve">розподіл електричної енергії </t>
  </si>
  <si>
    <t>38</t>
  </si>
  <si>
    <t>ФОП Кошелев Д.В.</t>
  </si>
  <si>
    <t>акумулятор</t>
  </si>
  <si>
    <t>59</t>
  </si>
  <si>
    <t>ТОВ "Акваполіс"</t>
  </si>
  <si>
    <t>хімічна продукція</t>
  </si>
  <si>
    <t>КП "Кременчукводоканал" д.уг.№2в.11.01.24р.</t>
  </si>
  <si>
    <t>послуги медичних лабораторій (обстеження методом ПЛР та онко - обстеження для вагітних) онко  - 4680,00, ПЛР - 4500,00</t>
  </si>
  <si>
    <t>2403-ІВ-24</t>
  </si>
  <si>
    <t>доступ до телекомунікаційних мереж</t>
  </si>
  <si>
    <t>17/1016</t>
  </si>
  <si>
    <t>ТОВ "Полтавський регіональний медичний центр безпеки дорожнього руху"</t>
  </si>
  <si>
    <t>технічне обслуговування аналізатора алкоголю</t>
  </si>
  <si>
    <t>42</t>
  </si>
  <si>
    <t>ФОП Шибецька Т.В.</t>
  </si>
  <si>
    <t>пристрій реабілітаційнитй</t>
  </si>
  <si>
    <t>06/01</t>
  </si>
  <si>
    <t>ТОВ "Профенергостар"</t>
  </si>
  <si>
    <t>навчання з питань охорони праці для електротехнічних працівників; по правилах технічної експлуатації електроустановок споживачів</t>
  </si>
  <si>
    <t>КП "Кременчукводоканал" д.уг.№4в.11.01.24р.</t>
  </si>
  <si>
    <t>71030/2024</t>
  </si>
  <si>
    <t>56</t>
  </si>
  <si>
    <t>ФОП Прядун Л.В.</t>
  </si>
  <si>
    <t>вішак мобільний, стійка прийому-видачі одягу</t>
  </si>
  <si>
    <t>1/24Г</t>
  </si>
  <si>
    <t>ФОП Гошовський О.С.</t>
  </si>
  <si>
    <t>медична п'явка</t>
  </si>
  <si>
    <t>7/24</t>
  </si>
  <si>
    <t>вивезення (перевезення) твердих побутових відходів, захоронення твердих побутових відходів</t>
  </si>
  <si>
    <t>ТОВ "Понтем.уа" Звіт про результати проведення закупівлі UA-2023-05-22-010752-a від 06.06.2023 д.уг.№4в.12.01.24р.</t>
  </si>
  <si>
    <t>37</t>
  </si>
  <si>
    <t>бензин А-95</t>
  </si>
  <si>
    <t xml:space="preserve">ТОВ "Синергія Систем" Звіт про результати проведення закупівлі UA-2024-01-03-002871-a від 12.01.2024 </t>
  </si>
  <si>
    <t>60</t>
  </si>
  <si>
    <t>ФОП Литвиненко Н.Є.</t>
  </si>
  <si>
    <t>замок врізний, циліндр</t>
  </si>
  <si>
    <t>АТ "Полтаваобленерго"</t>
  </si>
  <si>
    <t>КП "Кременчукводоканал"</t>
  </si>
  <si>
    <t>12.01.24</t>
  </si>
  <si>
    <t>ТОВ "Понтем.уа"</t>
  </si>
  <si>
    <t>ФОП Яценко Ю.А.</t>
  </si>
  <si>
    <t>доступ в режимі он-лайн до електронних баз</t>
  </si>
  <si>
    <t>ФОП Гунько Д.В.</t>
  </si>
  <si>
    <t>демонтаж кондиціонера</t>
  </si>
  <si>
    <t>67</t>
  </si>
  <si>
    <t>трійник, труба, ручка, кут, муфта, сніжка</t>
  </si>
  <si>
    <t>22</t>
  </si>
  <si>
    <t>КЗ освіти Кременчуцький медичний фаховий коледж імені В.І. Литвиненка</t>
  </si>
  <si>
    <t>відділення післядипломної освіти, цикл тематичного удосконалення "Ортопедична стоматологія" - технік зубний</t>
  </si>
  <si>
    <t>ФОП Щуренко О.М.</t>
  </si>
  <si>
    <t>доступ он-лайн до електронних баз (головбух бюджет)</t>
  </si>
  <si>
    <t>945</t>
  </si>
  <si>
    <t>ТОВ "Віола медтехніка"</t>
  </si>
  <si>
    <t>індикатор стерилан</t>
  </si>
  <si>
    <t>ТОВ "Електроцентр К"</t>
  </si>
  <si>
    <t>943</t>
  </si>
  <si>
    <t>господарчі товари</t>
  </si>
  <si>
    <t>ТОВ "Центр сертифікації ключів Україна"</t>
  </si>
  <si>
    <t>видача сертифікатів, постачання програмного комплексу "Варта"</t>
  </si>
  <si>
    <t>ФОП Шайнога С.В.</t>
  </si>
  <si>
    <t>451</t>
  </si>
  <si>
    <t>виготовлення друкованої продукції</t>
  </si>
  <si>
    <t>942</t>
  </si>
  <si>
    <t>23.01.24</t>
  </si>
  <si>
    <t>79</t>
  </si>
  <si>
    <t>ФОП Іванов В.Л.</t>
  </si>
  <si>
    <t>веб камера, навушники</t>
  </si>
  <si>
    <t>76</t>
  </si>
  <si>
    <t>ФОП Мартиненко Є.В.</t>
  </si>
  <si>
    <t>вхідні двері металопластикові</t>
  </si>
  <si>
    <t>905</t>
  </si>
  <si>
    <t>послуги медичних лабораторій (обстеження методом ПЛР та онко - обстеження для вагітних) онко  - 375000,00, ПЛР - 100000,00</t>
  </si>
  <si>
    <t>24.01.24</t>
  </si>
  <si>
    <t>додаткове харчування</t>
  </si>
  <si>
    <t>1565/24</t>
  </si>
  <si>
    <t>цілодобове спостерігання та обслуговування системи пожежної сигналізації</t>
  </si>
  <si>
    <t>240101/ОТ18СК</t>
  </si>
  <si>
    <t>ТОВ "Сокіл Полтавщина 2016"</t>
  </si>
  <si>
    <t xml:space="preserve">охоронні послуги за допомогою пульта централізованого спостереження </t>
  </si>
  <si>
    <t>,</t>
  </si>
  <si>
    <t>77</t>
  </si>
  <si>
    <t>КП "Аптека №90"</t>
  </si>
  <si>
    <t>діофлан</t>
  </si>
  <si>
    <t>1565/23</t>
  </si>
  <si>
    <t>82</t>
  </si>
  <si>
    <t>19</t>
  </si>
  <si>
    <t>ФОП Зюбаненко О.В.</t>
  </si>
  <si>
    <t>технічне обслуговування і ремонт офісної техніки</t>
  </si>
  <si>
    <t xml:space="preserve">щодобове автоматизоване дистанційне зчитування даних </t>
  </si>
  <si>
    <t>62</t>
  </si>
  <si>
    <t>ТОВ "Альфа-Медика"</t>
  </si>
  <si>
    <t>проведення коронароангіографії , стентування судин</t>
  </si>
  <si>
    <t>86</t>
  </si>
  <si>
    <t>ПП "Ятрань-2"</t>
  </si>
  <si>
    <t>касова стрічка</t>
  </si>
  <si>
    <t>89</t>
  </si>
  <si>
    <t>ФОП Івасишина О.О.</t>
  </si>
  <si>
    <t>наклейка</t>
  </si>
  <si>
    <t>878</t>
  </si>
  <si>
    <t>ПП "Гусар О.С."</t>
  </si>
  <si>
    <t>оцет, сіль кухонна</t>
  </si>
  <si>
    <t>43</t>
  </si>
  <si>
    <t>ТОВ "Лайфселл"</t>
  </si>
  <si>
    <t>комунікаційні послуги</t>
  </si>
  <si>
    <t>94</t>
  </si>
  <si>
    <t>відділення післядипломної освіти, цикл тематичного удосконалення "Хірургія" - сестра медична</t>
  </si>
  <si>
    <t>95</t>
  </si>
  <si>
    <t>відділення післядипломної освіти, цикл тематичного удосконалення "Лікувально-діагностичні процедури" - сестра медична</t>
  </si>
  <si>
    <t>8116</t>
  </si>
  <si>
    <t>ФОП Кундій С.І.</t>
  </si>
  <si>
    <t>супроводження програмного забезпечення "Розрахунок заробітної плати"</t>
  </si>
  <si>
    <t>ПАКС-02-24</t>
  </si>
  <si>
    <t>ТОВ "ТЕЛЕМЕД.ЮА"</t>
  </si>
  <si>
    <t>доступ до хмарного онлайн-сервісу</t>
  </si>
  <si>
    <t>8</t>
  </si>
  <si>
    <t>ФОП Пономаренко О.Р.</t>
  </si>
  <si>
    <t>перезаряджання сертифікованих вогнегасників</t>
  </si>
  <si>
    <t>5344А/2023</t>
  </si>
  <si>
    <t>ПрАТ "Лінде Газ Україна"</t>
  </si>
  <si>
    <t>оренда ємності кисню рідкого</t>
  </si>
  <si>
    <t>101</t>
  </si>
  <si>
    <t>ТОВ "Ортомедіка груп"</t>
  </si>
  <si>
    <t>судно підкладне з кришкою</t>
  </si>
  <si>
    <t>105</t>
  </si>
  <si>
    <t>ФОП Макаренко Д.В.</t>
  </si>
  <si>
    <t>набір желатину розчин 10 %</t>
  </si>
  <si>
    <t>102</t>
  </si>
  <si>
    <t>відділення післядипломної освіти, цикл тематичного удосконалення "Терапія" - сестра медична</t>
  </si>
  <si>
    <t>106</t>
  </si>
  <si>
    <t>108</t>
  </si>
  <si>
    <t>журнали</t>
  </si>
  <si>
    <t>109</t>
  </si>
  <si>
    <t>ПП "Медінфосервіс"</t>
  </si>
  <si>
    <t>супроводження програмного забезпечення "Облік медичних кадрів України"</t>
  </si>
  <si>
    <t>110</t>
  </si>
  <si>
    <t>ПП "Техноінфомед-2"</t>
  </si>
  <si>
    <t>супроводження програмного забезпечення "Медична статистика"</t>
  </si>
  <si>
    <t>КП "Теплоенерго"</t>
  </si>
  <si>
    <t>08.02.24</t>
  </si>
  <si>
    <t>116</t>
  </si>
  <si>
    <t>ФОП Олещенко В.А.</t>
  </si>
  <si>
    <t>канцтовари</t>
  </si>
  <si>
    <t>115</t>
  </si>
  <si>
    <t>бланки</t>
  </si>
  <si>
    <t>112</t>
  </si>
  <si>
    <t>ТОВ "ЕКСДІА ПЛЮС"</t>
  </si>
  <si>
    <t>комбінований тест на наркотики</t>
  </si>
  <si>
    <t>119</t>
  </si>
  <si>
    <t>солодки сироп</t>
  </si>
  <si>
    <t>107</t>
  </si>
  <si>
    <t>номерки для гардероба</t>
  </si>
  <si>
    <t>02/02</t>
  </si>
  <si>
    <t>ФОП Заболотна О.Л.</t>
  </si>
  <si>
    <t>одноразова стерільна інфузійна система для вливання</t>
  </si>
  <si>
    <t>117</t>
  </si>
  <si>
    <t>ФОП Авраменко Н.Г.</t>
  </si>
  <si>
    <t>21</t>
  </si>
  <si>
    <t>ТОВ "Баланс+Сервіс"</t>
  </si>
  <si>
    <t>постачання пакетів оновлення "M.E.Doc" модуль звітність</t>
  </si>
  <si>
    <t>125</t>
  </si>
  <si>
    <t>ФОП Булей Н.В.</t>
  </si>
  <si>
    <t xml:space="preserve">абсорбент </t>
  </si>
  <si>
    <t>126</t>
  </si>
  <si>
    <t>ТОВ "НС-ДОРС"</t>
  </si>
  <si>
    <t>двері металеві</t>
  </si>
  <si>
    <t>934</t>
  </si>
  <si>
    <t>ФОП Парфентьєва Л.О.</t>
  </si>
  <si>
    <t>бінокулярні лупи</t>
  </si>
  <si>
    <t>30</t>
  </si>
  <si>
    <t>КП "Спеціалізований комбінат ритуальних послуг"</t>
  </si>
  <si>
    <t>доставка померлих</t>
  </si>
  <si>
    <t>901</t>
  </si>
  <si>
    <t>ТОВ "Медичний центр "М.Т.К."</t>
  </si>
  <si>
    <t>натрію хлорид</t>
  </si>
  <si>
    <t>723</t>
  </si>
  <si>
    <t>трубка пацієнта</t>
  </si>
  <si>
    <t>790</t>
  </si>
  <si>
    <t>розчин рінгера</t>
  </si>
  <si>
    <t>645</t>
  </si>
  <si>
    <t>АТ "Фармак"</t>
  </si>
  <si>
    <t>фармацевтична продукція</t>
  </si>
  <si>
    <t>465</t>
  </si>
  <si>
    <t>838</t>
  </si>
  <si>
    <t>864</t>
  </si>
  <si>
    <t>191</t>
  </si>
  <si>
    <t>202</t>
  </si>
  <si>
    <t>медичні матеріали</t>
  </si>
  <si>
    <t>160</t>
  </si>
  <si>
    <t>МКП "Екогаз"</t>
  </si>
  <si>
    <t>визначення ефективності роботи вентиляційних установок</t>
  </si>
  <si>
    <t>32</t>
  </si>
  <si>
    <t>ПП "Вайтмед"</t>
  </si>
  <si>
    <t>812</t>
  </si>
  <si>
    <t>134</t>
  </si>
  <si>
    <t>фурнітура балконних дверей</t>
  </si>
  <si>
    <t>13.02.24</t>
  </si>
  <si>
    <t>127</t>
  </si>
  <si>
    <t>ТОВ "Будівельна компанія "Домовой"</t>
  </si>
  <si>
    <t>циліндровий механізм, кабельний канал, кабель, розетка, лампа</t>
  </si>
  <si>
    <t>133</t>
  </si>
  <si>
    <t>медична картка стаціонарного хворого</t>
  </si>
  <si>
    <t>3</t>
  </si>
  <si>
    <t>ДП Спеціалізоване ремонтно-будівельне управління "Кременчукліфтсервіс"</t>
  </si>
  <si>
    <t>технічне обслуговування ліфтів</t>
  </si>
  <si>
    <t>Кр-196/24</t>
  </si>
  <si>
    <t>Управління поліції охорони в Полтавській області</t>
  </si>
  <si>
    <t>послуги охорони</t>
  </si>
  <si>
    <t>138</t>
  </si>
  <si>
    <t>ТОВ "Електроцентр-К"</t>
  </si>
  <si>
    <t>136</t>
  </si>
  <si>
    <t>65</t>
  </si>
  <si>
    <t>ТОВ "Віола Медтехніка"</t>
  </si>
  <si>
    <t>130</t>
  </si>
  <si>
    <t>ФОП Руденко В.С.</t>
  </si>
  <si>
    <t>диски</t>
  </si>
  <si>
    <t>1000194407</t>
  </si>
  <si>
    <t>139</t>
  </si>
  <si>
    <t>аритміл</t>
  </si>
  <si>
    <t>02/2024</t>
  </si>
  <si>
    <t>146</t>
  </si>
  <si>
    <t>144</t>
  </si>
  <si>
    <t>ТОВ "Дако-Груп ЛТД"</t>
  </si>
  <si>
    <t>профіль, клей, плитка, кут, вимикач ...</t>
  </si>
  <si>
    <t>145</t>
  </si>
  <si>
    <r>
      <rPr>
        <b/>
        <sz val="12"/>
        <color rgb="FFFF0000"/>
        <rFont val="Times New Roman"/>
        <family val="1"/>
        <charset val="204"/>
      </rPr>
      <t>ФОП Воловик О.М.</t>
    </r>
    <r>
      <rPr>
        <sz val="12"/>
        <color theme="1"/>
        <rFont val="Times New Roman"/>
        <family val="1"/>
        <charset val="204"/>
      </rPr>
      <t xml:space="preserve"> (казначейство р/р UA628201720344311008400099569) КПК 0712010</t>
    </r>
  </si>
  <si>
    <r>
      <rPr>
        <b/>
        <sz val="12"/>
        <color rgb="FFFF0000"/>
        <rFont val="Times New Roman"/>
        <family val="1"/>
        <charset val="204"/>
      </rPr>
      <t>ТОВ "ЮНІМ ПРО"</t>
    </r>
    <r>
      <rPr>
        <sz val="12"/>
        <color theme="1"/>
        <rFont val="Times New Roman"/>
        <family val="1"/>
        <charset val="204"/>
      </rPr>
      <t xml:space="preserve"> (казначейство р/р UA608201720344351013400099569) КПК 0717322</t>
    </r>
  </si>
  <si>
    <t>147</t>
  </si>
  <si>
    <t>169</t>
  </si>
  <si>
    <t>ТОВ "Мед-Діагностика"</t>
  </si>
  <si>
    <t>тест-смужки</t>
  </si>
  <si>
    <t>Постачальники</t>
  </si>
  <si>
    <t>4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</si>
  <si>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</si>
  <si>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</si>
  <si>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</si>
  <si>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</si>
  <si>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</si>
  <si>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</si>
  <si>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</si>
  <si>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</si>
  <si>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</si>
  <si>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20</t>
  </si>
  <si>
    <t>26</t>
  </si>
  <si>
    <t>535</t>
  </si>
  <si>
    <t>31</t>
  </si>
  <si>
    <t>34</t>
  </si>
  <si>
    <t>ТОВ "Ексдіа Плюс"</t>
  </si>
  <si>
    <t>40</t>
  </si>
  <si>
    <t>с/р</t>
  </si>
  <si>
    <t>с/р центр</t>
  </si>
  <si>
    <t>б/в</t>
  </si>
  <si>
    <t>б/в центр</t>
  </si>
  <si>
    <t>м/б</t>
  </si>
  <si>
    <t>вк</t>
  </si>
  <si>
    <t>с/ф м/б</t>
  </si>
  <si>
    <t>Сплачено по:</t>
  </si>
  <si>
    <t>Залишок по договору</t>
  </si>
  <si>
    <t>41</t>
  </si>
  <si>
    <t>50</t>
  </si>
  <si>
    <t>158</t>
  </si>
  <si>
    <t>відділення післядипломної освіти, цикл тематичного удосконалення "Медицина невідкладних станів" - фельдшер</t>
  </si>
  <si>
    <t>1000157362</t>
  </si>
  <si>
    <t>1000222979</t>
  </si>
  <si>
    <t>159</t>
  </si>
  <si>
    <t>ФОП Войтович С.В.</t>
  </si>
  <si>
    <t>блок живлення</t>
  </si>
  <si>
    <t>163</t>
  </si>
  <si>
    <t>засоби дезінфекційні</t>
  </si>
  <si>
    <t>932</t>
  </si>
  <si>
    <t>хірургічний мікроскоп</t>
  </si>
  <si>
    <t>ТОВ "ДЕЗОДАР" ТЗ UA-2023-01-17-007525-а від 08.02.2023</t>
  </si>
  <si>
    <t>ТОВ "Укр Діагностика" ТЗ UA-2023-12-07-006270-а від 25.12.2023</t>
  </si>
  <si>
    <t>131</t>
  </si>
  <si>
    <t>183</t>
  </si>
  <si>
    <t>211</t>
  </si>
  <si>
    <t xml:space="preserve">реактиви та контрастні речовини </t>
  </si>
  <si>
    <t>ТОВ "ХЛР" ТЗ UA-2023-01-17-001700-а від 06.02.2023</t>
  </si>
  <si>
    <t>ФОП Макаренко Д.В. ТЗ UA-2023-01-26-007466-а від 17.02.2023</t>
  </si>
  <si>
    <t xml:space="preserve">фармацевтична продукція </t>
  </si>
  <si>
    <t>ТОВ "Белітрейд" ТЗ UA-2023-02-06-010007-а від 27.02.2023</t>
  </si>
  <si>
    <t>937</t>
  </si>
  <si>
    <t>ТОВ "Укр Діагностика" ТЗ UA-2023-12-08-013199-а від 26.12.2023</t>
  </si>
  <si>
    <t>система управління температурою у складі: зігрівальна ковдра</t>
  </si>
  <si>
    <t>5620-1312</t>
  </si>
  <si>
    <t>ТОВ "ЗДОРОВ'Я 24" ТЗ UA-2023-12-04-013148-а від 21.12.2023</t>
  </si>
  <si>
    <t>постачання програмної продукції - програмного комплексу "Медична інформаційна система "Health24"</t>
  </si>
  <si>
    <t>149</t>
  </si>
  <si>
    <t>ТОВ "ТЕЛЕМЕД.ЮА" ТЗ UA-2024-02-05-012135-а від 21.02.2024</t>
  </si>
  <si>
    <t>доступ до хмарного онлайн-сервісу PACS24</t>
  </si>
  <si>
    <t>541196</t>
  </si>
  <si>
    <t>ПрАТ "Датагруп"</t>
  </si>
  <si>
    <t>541197</t>
  </si>
  <si>
    <t>послуга "наземний канал передавання даних"</t>
  </si>
  <si>
    <t>541195</t>
  </si>
  <si>
    <t>послуги з підтримки та системного супроводу</t>
  </si>
  <si>
    <t>18.12.23</t>
  </si>
  <si>
    <t>ТОВ "Дез-Сервіс"</t>
  </si>
  <si>
    <t>дезінсекція</t>
  </si>
  <si>
    <t>020124-то</t>
  </si>
  <si>
    <t>ФОП Решетнік О.В.</t>
  </si>
  <si>
    <t>технічне обслуговування системи відеоспостереження</t>
  </si>
  <si>
    <t>84</t>
  </si>
  <si>
    <t>26.01.24</t>
  </si>
  <si>
    <t>ТОВ "Аксіома Сервіс+"</t>
  </si>
  <si>
    <t>управлінські послуги пов'язані з комп'ютерними технологіями</t>
  </si>
  <si>
    <t>613</t>
  </si>
  <si>
    <t>17.07.23</t>
  </si>
  <si>
    <t>121</t>
  </si>
  <si>
    <t>кабель мережевий</t>
  </si>
  <si>
    <t>776</t>
  </si>
  <si>
    <t>ТОВ "Белітрейд" ТЗ UA-2023-09-29-006225-а від 12.10.2023</t>
  </si>
  <si>
    <t>777</t>
  </si>
  <si>
    <t>ТОВ "Белітрейд" ТЗ UA-2023-09-29-007019-а від 12.10.2023</t>
  </si>
  <si>
    <t>фентаніл, дитилін</t>
  </si>
  <si>
    <t>860</t>
  </si>
  <si>
    <t xml:space="preserve">ТОВ "Аметрін ФК" ТЗ UA-2023-11-10-000661-a від 20.10.2023 </t>
  </si>
  <si>
    <t>дофамін, лідокаїн</t>
  </si>
  <si>
    <t>прання</t>
  </si>
  <si>
    <t>71</t>
  </si>
  <si>
    <t xml:space="preserve">ТОВ "Медичний центр "М.Т.К."  ТЗ UA-2024-01-17-009882-a від 24.01.2024 </t>
  </si>
  <si>
    <t xml:space="preserve">ТОВ "Медичний центр "М.Т.К."  ТЗ UA-2024-02-09-007648-a від 15.02.2024 </t>
  </si>
  <si>
    <t>2944</t>
  </si>
  <si>
    <t>Національний університет охорони здоров'я України імені П.Л. Шупика</t>
  </si>
  <si>
    <t>навчання на курсах СП-24, Сорока Н.С.</t>
  </si>
  <si>
    <t>162</t>
  </si>
  <si>
    <t>27.02.24</t>
  </si>
  <si>
    <t>Компанія "ДЖИН"</t>
  </si>
  <si>
    <t>проведення діагностики МРТ</t>
  </si>
  <si>
    <t>8/24-ПО</t>
  </si>
  <si>
    <t>КП "Муніципальна варта"</t>
  </si>
  <si>
    <t xml:space="preserve">охоронні послуги </t>
  </si>
  <si>
    <t>261/24-ПС</t>
  </si>
  <si>
    <t>цілодобове спостерігання за роботою автоматичної системи пожежної сигналізації</t>
  </si>
  <si>
    <t>92/23-ФО</t>
  </si>
  <si>
    <t>20.01.23</t>
  </si>
  <si>
    <t>КП "Муніципальна варта" ТЗ UA-2022-12-28-005384-а від 20.01.2023</t>
  </si>
  <si>
    <t>931</t>
  </si>
  <si>
    <t>25.12.23</t>
  </si>
  <si>
    <t>система моніторингу цілісності нервів в комплекті</t>
  </si>
  <si>
    <t>ФОП Парфентьєва Л.О. ТЗ UA-2023-12-07-015728-а від 26.12.2023</t>
  </si>
  <si>
    <t>165</t>
  </si>
  <si>
    <t>172</t>
  </si>
  <si>
    <r>
      <rPr>
        <b/>
        <sz val="12"/>
        <color rgb="FFFF0000"/>
        <rFont val="Times New Roman"/>
        <family val="1"/>
        <charset val="204"/>
      </rPr>
      <t>ТОВ "Кременергобуд"</t>
    </r>
    <r>
      <rPr>
        <sz val="12"/>
        <color theme="1"/>
        <rFont val="Times New Roman"/>
        <family val="1"/>
        <charset val="204"/>
      </rPr>
      <t xml:space="preserve"> (казначейство р/р UA608201720344351013400099569) КПК 0717322</t>
    </r>
  </si>
  <si>
    <t>173</t>
  </si>
  <si>
    <t>164</t>
  </si>
  <si>
    <t>2024-12</t>
  </si>
  <si>
    <t>15.02.24</t>
  </si>
  <si>
    <t>ТОВ "Укркомекспо"</t>
  </si>
  <si>
    <t>інформаційно-консультаційні послуги</t>
  </si>
  <si>
    <t>ТОВ "Белітрейд"</t>
  </si>
  <si>
    <t>тіопентал</t>
  </si>
  <si>
    <t>140</t>
  </si>
  <si>
    <t>75000465634/БО_2024</t>
  </si>
  <si>
    <t>01.01.24</t>
  </si>
  <si>
    <t>181</t>
  </si>
  <si>
    <t>185</t>
  </si>
  <si>
    <t>5/2024</t>
  </si>
  <si>
    <r>
      <rPr>
        <b/>
        <sz val="12"/>
        <color rgb="FFFF0000"/>
        <rFont val="Times New Roman"/>
        <family val="1"/>
        <charset val="204"/>
      </rPr>
      <t>ФОП Воловик О.М.</t>
    </r>
    <r>
      <rPr>
        <sz val="12"/>
        <color theme="1"/>
        <rFont val="Times New Roman"/>
        <family val="1"/>
        <charset val="204"/>
      </rPr>
      <t xml:space="preserve"> (казначейство р/р UA608201720344351013400099569) КПК 0717322</t>
    </r>
  </si>
  <si>
    <t>6/2024</t>
  </si>
  <si>
    <t>189</t>
  </si>
  <si>
    <t>190</t>
  </si>
  <si>
    <t>3/2024</t>
  </si>
  <si>
    <t>192</t>
  </si>
  <si>
    <t>07.03.24</t>
  </si>
  <si>
    <t>161</t>
  </si>
  <si>
    <t>197</t>
  </si>
  <si>
    <t>ПП "ВТП "Ятрань-2"</t>
  </si>
  <si>
    <t>касова книга, касова стрічка</t>
  </si>
  <si>
    <t>Навчально-методичний центр цивільного захисту та безпеки життєдіяльності Полтавської області</t>
  </si>
  <si>
    <t>функціональне навчання (підвищення кваліфікації цільового призначення) у сфері цивільного захисту</t>
  </si>
  <si>
    <t>187</t>
  </si>
  <si>
    <t>жалюзі</t>
  </si>
  <si>
    <t>186</t>
  </si>
  <si>
    <t>металопластикові двері</t>
  </si>
  <si>
    <t>710</t>
  </si>
  <si>
    <t>04.09.23</t>
  </si>
  <si>
    <t>покіс трав, бур'янів та карантинних рослин</t>
  </si>
  <si>
    <t>ТОВ "Скалекс сервіс" ТЗ UA-2023-08-09-0062423-а від 05.09.2023</t>
  </si>
  <si>
    <t>73-БК/р</t>
  </si>
  <si>
    <t>28.07.23</t>
  </si>
  <si>
    <t>КП "Благоустрій Кременчука"</t>
  </si>
  <si>
    <t>покіс трави</t>
  </si>
  <si>
    <t>685</t>
  </si>
  <si>
    <t>ТОВ "Альтаїр-Фарм" ТЗ UA-2023-08-17-003572-а від 28.08.2023</t>
  </si>
  <si>
    <t>шприци</t>
  </si>
  <si>
    <t>10.01.23</t>
  </si>
  <si>
    <t>КНМП "Кременчуцька перша міська лікарня ім. О.Т. Богаєвського"</t>
  </si>
  <si>
    <t>медичні лабораторні бактеріологічні дослідження</t>
  </si>
  <si>
    <t>59-БВ/2023</t>
  </si>
  <si>
    <t>06.10.23</t>
  </si>
  <si>
    <t>ФОП Балашов С.В.</t>
  </si>
  <si>
    <t>технічне обслуговування рентгенівських апаратів</t>
  </si>
  <si>
    <t>505S</t>
  </si>
  <si>
    <t>29.01.24</t>
  </si>
  <si>
    <t>ПП Павлов М.В.</t>
  </si>
  <si>
    <t>обслуговування програмного забезпечення "Медикаменти"</t>
  </si>
  <si>
    <t>1550</t>
  </si>
  <si>
    <t>ФОП Мельник С.А.</t>
  </si>
  <si>
    <t>послуги по внесенню змін та обслуговуванню програмного забезпечення</t>
  </si>
  <si>
    <t>178</t>
  </si>
  <si>
    <t>04.03.24</t>
  </si>
  <si>
    <t>ФОП Сиволап В.Р. ТЗ UA-2024-02-14-009563-а від 04.03.2024</t>
  </si>
  <si>
    <t>лікарські засоби</t>
  </si>
  <si>
    <t>дизельне паливо</t>
  </si>
  <si>
    <t>ТОВ "БВС ритейл" ТЗ UA-2024-02-01-004172-а від 07.02.2024</t>
  </si>
  <si>
    <t>15.01.24</t>
  </si>
  <si>
    <t>ТОВ "Дія Фарм"</t>
  </si>
  <si>
    <t>218/23</t>
  </si>
  <si>
    <t>13.11.23</t>
  </si>
  <si>
    <t>ДП "Оптимал-МТ"</t>
  </si>
  <si>
    <t>встановлення медичного обладнання</t>
  </si>
  <si>
    <t>036/411077</t>
  </si>
  <si>
    <t>11.03.24</t>
  </si>
  <si>
    <t>ПрАТ "Українська пожежно-страхова компанія"</t>
  </si>
  <si>
    <t>страхування цивільно-правової відповідальності (володіння транспортними засобами)</t>
  </si>
  <si>
    <t>ТОВ "КРЕМІНЬ-АВТОСВІТ"</t>
  </si>
  <si>
    <t>масляний фільтр, олива моторна, привод стартера, фільтр паливний та повітряний</t>
  </si>
  <si>
    <t>201</t>
  </si>
  <si>
    <t>ремонт і технічне обслуговування транспортних засобів</t>
  </si>
  <si>
    <t>1000259577</t>
  </si>
  <si>
    <t>ФОП Остренок М.Б.</t>
  </si>
  <si>
    <t>06.01.23</t>
  </si>
  <si>
    <t>ТОВ "Юридична консультація "ЛіАС"</t>
  </si>
  <si>
    <t>юридичні послуги</t>
  </si>
  <si>
    <t>157</t>
  </si>
  <si>
    <t>188</t>
  </si>
  <si>
    <t>195</t>
  </si>
  <si>
    <t>папір</t>
  </si>
  <si>
    <t>5344А</t>
  </si>
  <si>
    <t>02.01.24</t>
  </si>
  <si>
    <t>оренда, строкове платне користування майном: ємність для зберігання рідкого кисню, повітряний випаровувач, розетка для автозаправки, танк комп'ютер</t>
  </si>
  <si>
    <t>174</t>
  </si>
  <si>
    <t>ТОВ "Логіклабгрупа" ТЗ UA-2024-02-14-006091-а від 04.03.2024</t>
  </si>
  <si>
    <t>лікарські засоби (реактиви та контрастні речовини)</t>
  </si>
  <si>
    <t>29.02.24</t>
  </si>
  <si>
    <t>ФОП Юхименко В.В.</t>
  </si>
  <si>
    <t>амілаза моно</t>
  </si>
  <si>
    <t>840</t>
  </si>
  <si>
    <t>09.11.23</t>
  </si>
  <si>
    <t>марля медична</t>
  </si>
  <si>
    <t>ТОВ "Гемопласт-Полісся" ТЗ UA-2023-11-02-002600-а від 09.11.2023</t>
  </si>
  <si>
    <t>103/2023</t>
  </si>
  <si>
    <t>ТОВ "Медпрофіль" ТЗ UA-2023-11-02-008942-а від 09.11.2023</t>
  </si>
  <si>
    <t>одноразова система для вливання інфузійних розчинів</t>
  </si>
  <si>
    <t>861</t>
  </si>
  <si>
    <t>20.11.23</t>
  </si>
  <si>
    <t>ТОВ "Вента.ЛТД" ТЗ UA-2023-11-14-014392-а від 20.11.2023</t>
  </si>
  <si>
    <t>кейтерингові послуги</t>
  </si>
  <si>
    <t>ТОВ "Понтем.уа" ТЗ UA-2023-11-22-000803-а від 07.12.2023</t>
  </si>
  <si>
    <t>15.02.23</t>
  </si>
  <si>
    <t>ТОВ "Полтава Хім" ТЗ UA-2023-01-23-004221-а від 15.02.2023</t>
  </si>
  <si>
    <t>21.12.23</t>
  </si>
  <si>
    <t>ФОП Запара Л.С. ТЗ UA-2023-12-06-000596-а від 21.12.2023</t>
  </si>
  <si>
    <t>обслуговування та поточний ремонт відео ендоскопу</t>
  </si>
  <si>
    <t>204</t>
  </si>
  <si>
    <t>12.03.24</t>
  </si>
  <si>
    <t>ФОП Яцина О.П.</t>
  </si>
  <si>
    <t>експертне обстеження будівлі моргу</t>
  </si>
  <si>
    <t>ТОВ "Оріон-один"</t>
  </si>
  <si>
    <t>медична довідка</t>
  </si>
  <si>
    <t>205</t>
  </si>
  <si>
    <t>заливний механізм</t>
  </si>
  <si>
    <t>212</t>
  </si>
  <si>
    <t>труби, електроди, плитка, круги, ланцюги</t>
  </si>
  <si>
    <t>28.08.23</t>
  </si>
  <si>
    <t xml:space="preserve">ТОВ "Люмед" ТЗ UA-2023-08-13-001139-a від 18.09.2023 </t>
  </si>
  <si>
    <t xml:space="preserve">ТОВ "Аметрін ФК" ТЗ UA-2023-04-28-006404-a від 16.05.2023 </t>
  </si>
  <si>
    <t xml:space="preserve">ТОВ "СТМ-Фарм" ТЗ UA-2023-11-01-004546-a від 09.11.2023 </t>
  </si>
  <si>
    <t xml:space="preserve">ТОВ "Аметрін ФК" ТЗ UA-2023-11-13-003892-a від 22.11.2023 </t>
  </si>
  <si>
    <t xml:space="preserve">ТОВ "Модерн-Фарм" ТЗ UA-2023-01-25-007150-a від 20.02.2023 </t>
  </si>
  <si>
    <t xml:space="preserve">ФОП Усата В.Г. ТЗ UA-2023-01-31-005832-a від 24.02.2023 </t>
  </si>
  <si>
    <t xml:space="preserve">ТОВ "Медичний центр "М.Т.К." ТЗ UA-2023-01-24-012298-a від 13.02.2023 </t>
  </si>
  <si>
    <t xml:space="preserve">ТОВ "Аметрін ФК" ТЗ UA-2023-10-20-008214-a від 27.10.2023 </t>
  </si>
  <si>
    <t xml:space="preserve">ТОВ "Медлайф" </t>
  </si>
  <si>
    <t xml:space="preserve">КП "Кременчуцьке комунальне автотранспортне підприємство 1628" </t>
  </si>
  <si>
    <t>ТОВ "Софт Енерджі" д.уг.№5в.09.01.24</t>
  </si>
  <si>
    <t xml:space="preserve">КП "Теплоенерго" </t>
  </si>
  <si>
    <t>ТОВ "Софт Енерджі" д.уг.№1в.24.01.24</t>
  </si>
  <si>
    <t>ТОВ "ЕНЕРА ЧЕРНІГІВ" ТЗ UA-2023-01-12-007495-a від 16.02.2023</t>
  </si>
  <si>
    <t xml:space="preserve">АТ "ПОЛТАВАОБЛЕНЕРГО" </t>
  </si>
  <si>
    <t>944</t>
  </si>
  <si>
    <t>29.12.23</t>
  </si>
  <si>
    <t>прання і сухе чищення</t>
  </si>
  <si>
    <t>ПП "Вайтмед" ТЗ UA-2023-12-07-005499-а від 02.01.2024</t>
  </si>
  <si>
    <t>214</t>
  </si>
  <si>
    <t>17-0022/01-24</t>
  </si>
  <si>
    <t>Філія ДП "Укрдержбудекспертиза"</t>
  </si>
  <si>
    <t>експертиза проектної документації на будівництво: Капітальний ремонт приміщення травматологічного відділення будівлі КНМП "Лікарня інтенсивного лікування "Кременчуцька", вул. Лікаря Парнети, 2. Коригування</t>
  </si>
  <si>
    <t>213</t>
  </si>
  <si>
    <t>циліндровий механізм, корпус замка, кабель, ручка</t>
  </si>
  <si>
    <t>відділення післядипломної освіти, цикл тематичного удосконалення "Функціональна діагностимка" - сестра медична</t>
  </si>
  <si>
    <t>222</t>
  </si>
  <si>
    <t>224</t>
  </si>
  <si>
    <t>Полтавський державний медичний університет</t>
  </si>
  <si>
    <t>21.03.24</t>
  </si>
  <si>
    <t>навчання на курсах ТУ з циклу "Менеджмент гострих інсультів"</t>
  </si>
  <si>
    <t>225</t>
  </si>
  <si>
    <t>відділення післядипломної освіти, цикл тематичного удосконалення "Інфекційні хвороби" - сестра медична</t>
  </si>
  <si>
    <t>009/2023</t>
  </si>
  <si>
    <t>ФОП Шовгеня М.І.</t>
  </si>
  <si>
    <t>170</t>
  </si>
  <si>
    <t>інвентаризація об'єктів нерухомого майна, проведення обмірів та виготовлення технічного паспорта, пр. Л. Українки, 80</t>
  </si>
  <si>
    <t>комп'ютерна підтримка</t>
  </si>
  <si>
    <t>209</t>
  </si>
  <si>
    <t>ФОП Тесленко О.А.</t>
  </si>
  <si>
    <t>монтаж, демонтаж кондиціонерів</t>
  </si>
  <si>
    <t>ФОП Томашевський В.В.</t>
  </si>
  <si>
    <t>системний блок, монітор, мишка, клавіатура</t>
  </si>
  <si>
    <t>210</t>
  </si>
  <si>
    <t>598</t>
  </si>
  <si>
    <t>06.07.23</t>
  </si>
  <si>
    <t>тест-системи діагностичні</t>
  </si>
  <si>
    <t>ТОВ "Провіденс Медіка" ТЗ UA-2023-06-20-010020-а від 06.07.2023</t>
  </si>
  <si>
    <t>136/24</t>
  </si>
  <si>
    <t>ФОП Мартишин О.О.</t>
  </si>
  <si>
    <t>організація участі в онлайн семінарі</t>
  </si>
  <si>
    <t>206/23-ФО</t>
  </si>
  <si>
    <t>21.08.23</t>
  </si>
  <si>
    <t>183/23-ФО</t>
  </si>
  <si>
    <t>28.06.23</t>
  </si>
  <si>
    <t>22.02.23</t>
  </si>
  <si>
    <t>ТОВ "Провіденс Медіка" ТЗ UA-2023-02-02-009438-а від 22.02.2023</t>
  </si>
  <si>
    <t>867</t>
  </si>
  <si>
    <t>22.11.23</t>
  </si>
  <si>
    <t>ТОВ "Белітрейд" ТЗ UA-2023-11-14-014786-а від 22.11.2023</t>
  </si>
  <si>
    <t>13.02.23</t>
  </si>
  <si>
    <t>ТОВ "Провіденс Медіка" ТЗ UA-2023-01-24-010019-а від 13.02.2023</t>
  </si>
  <si>
    <t>75</t>
  </si>
  <si>
    <t>18.01.23</t>
  </si>
  <si>
    <t>ПП "Медігруп"</t>
  </si>
  <si>
    <t>оренда медичного обладнання</t>
  </si>
  <si>
    <t>11/24</t>
  </si>
  <si>
    <t>17.01.24</t>
  </si>
  <si>
    <t>ремонт і технічне обслуговування медичного та хірургічного обладнання</t>
  </si>
  <si>
    <t xml:space="preserve">ТОВ "Альфа-Медика" </t>
  </si>
  <si>
    <t>85</t>
  </si>
  <si>
    <t>ТОВ "Аметрін ФК" ТЗ UA-2024-01-18-005999-а від 29.01.2024</t>
  </si>
  <si>
    <t>243</t>
  </si>
  <si>
    <t>ФОП Циганцов С.Ф.</t>
  </si>
  <si>
    <t>шпалери, клей, плінтус, кут</t>
  </si>
  <si>
    <t>241</t>
  </si>
  <si>
    <t>26.03.24</t>
  </si>
  <si>
    <t>ТОВ "Ремонтно-будівельна фірма "Креміньбуд" (казначейство р/р UA898201720344300008000099569) КПК 0712010</t>
  </si>
  <si>
    <t>13-11-Р/24</t>
  </si>
  <si>
    <t>ТОВ "НОВА ЛІНІЯ 1"</t>
  </si>
  <si>
    <t>стелаж металевий</t>
  </si>
  <si>
    <t>6/24Г</t>
  </si>
  <si>
    <t>244</t>
  </si>
  <si>
    <t>657</t>
  </si>
  <si>
    <t>248</t>
  </si>
  <si>
    <t>29.03.24</t>
  </si>
  <si>
    <t>Полтавська обласна організація Українського товариства глухих, Громадська організація "Всеукраїнська організація осіб з інвалідністю зі слуху "Украінське товариство глухих"</t>
  </si>
  <si>
    <t>переклад на українську жестову мову</t>
  </si>
  <si>
    <r>
      <t xml:space="preserve">поточний ремонт: </t>
    </r>
    <r>
      <rPr>
        <b/>
        <sz val="10"/>
        <color rgb="FFFF0000"/>
        <rFont val="Times New Roman"/>
        <family val="1"/>
        <charset val="204"/>
      </rPr>
      <t>Демонтажні роботи</t>
    </r>
    <r>
      <rPr>
        <sz val="10"/>
        <color theme="1"/>
        <rFont val="Times New Roman"/>
        <family val="1"/>
        <charset val="204"/>
      </rPr>
      <t xml:space="preserve"> частини приміщень </t>
    </r>
    <r>
      <rPr>
        <b/>
        <sz val="10"/>
        <color rgb="FFFF0000"/>
        <rFont val="Times New Roman"/>
        <family val="1"/>
        <charset val="204"/>
      </rPr>
      <t>першого поверху будівлі основного корпусу будівлі КНМП "Лікарня інтенсивного лікування "Кременчуцька"</t>
    </r>
    <r>
      <rPr>
        <sz val="10"/>
        <color theme="1"/>
        <rFont val="Times New Roman"/>
        <family val="1"/>
        <charset val="204"/>
      </rPr>
      <t xml:space="preserve"> для розміщення </t>
    </r>
    <r>
      <rPr>
        <b/>
        <sz val="10"/>
        <color rgb="FFFF0000"/>
        <rFont val="Times New Roman"/>
        <family val="1"/>
        <charset val="204"/>
      </rPr>
      <t>системи магнітно-резонансного томографа</t>
    </r>
    <r>
      <rPr>
        <sz val="10"/>
        <color theme="1"/>
        <rFont val="Times New Roman"/>
        <family val="1"/>
        <charset val="204"/>
      </rPr>
      <t xml:space="preserve"> за адресою: вул. Лікаря Парнети, 2 м. Кременчук</t>
    </r>
  </si>
  <si>
    <t>232</t>
  </si>
  <si>
    <t>медея, сірководневі вани</t>
  </si>
  <si>
    <t>128</t>
  </si>
  <si>
    <t>ТОВ "Олестас Еко" ТЗ UA-2024-01-18-010263-а від 14.02.2024</t>
  </si>
  <si>
    <t>збирання з подальшою утилізацією відходів</t>
  </si>
  <si>
    <t>ТОВ "Понтем.уа" ТЗ UA-2023-12-13-014110-а від 02.01.2024</t>
  </si>
  <si>
    <t>252</t>
  </si>
  <si>
    <t>01.04.24</t>
  </si>
  <si>
    <t>реабілітімед бандаж пристосування ортопедичне для кульшового суглобу</t>
  </si>
  <si>
    <t>686</t>
  </si>
  <si>
    <t>255</t>
  </si>
  <si>
    <t>ФОП Бакай Г.С.</t>
  </si>
  <si>
    <t>256</t>
  </si>
  <si>
    <t>офісні меблі для оснащення приміщень паліативного відділення</t>
  </si>
  <si>
    <t>офісні меблі для оснащення приміщень для розміщення системи ангіографічної</t>
  </si>
  <si>
    <t>259</t>
  </si>
  <si>
    <t>мийка для оснащення приміщень для розміщення системи ангіографічної</t>
  </si>
  <si>
    <t>258</t>
  </si>
  <si>
    <t>шафа для одягу для оснащення приміщень для розміщення системи ангіографічної</t>
  </si>
  <si>
    <t>260</t>
  </si>
  <si>
    <t>стільці, крісла, дивани, табурети для оснащення приміщень паліативного відділення</t>
  </si>
  <si>
    <t>261</t>
  </si>
  <si>
    <t>меблі для оснащення приміщень паліативного відділення</t>
  </si>
  <si>
    <t>262</t>
  </si>
  <si>
    <t>дзеркало для оснащення приміщень паліативного відділення</t>
  </si>
  <si>
    <t>263</t>
  </si>
  <si>
    <t>столи для оснащення приміщень паліативного відділення</t>
  </si>
  <si>
    <t>ФОП Шульгіна М.А.</t>
  </si>
  <si>
    <t>вогнегасник, рукав пожежний, ствол, головка з'єднувальна</t>
  </si>
  <si>
    <t>265</t>
  </si>
  <si>
    <t>столи, шафи для оснащення приміщень для розміщення системи ангіографічної</t>
  </si>
  <si>
    <t>266</t>
  </si>
  <si>
    <t>стільці, дивани, крісла для оснащення приміщень для розміщення системи ангіографічної</t>
  </si>
  <si>
    <t>270</t>
  </si>
  <si>
    <t>шафи для одягу для оснащення приміщень паліативного відділення</t>
  </si>
  <si>
    <t>271</t>
  </si>
  <si>
    <t>стіл хірургічний для оснащення приміщень паліативного відділення</t>
  </si>
  <si>
    <t>235</t>
  </si>
  <si>
    <t>25.03.24</t>
  </si>
  <si>
    <t>реагенти</t>
  </si>
  <si>
    <t>282</t>
  </si>
  <si>
    <t>31/12/24</t>
  </si>
  <si>
    <t>0404</t>
  </si>
  <si>
    <t>ФОП Богомаз С.О.</t>
  </si>
  <si>
    <t>0504</t>
  </si>
  <si>
    <t>капелюхи та головні убори для оснащення приміщень для розміщення системи ангіографічної</t>
  </si>
  <si>
    <t>284</t>
  </si>
  <si>
    <t>050424-01</t>
  </si>
  <si>
    <t>08.04.24</t>
  </si>
  <si>
    <t>улаштування та налагодження локальної мережі</t>
  </si>
  <si>
    <t>0704</t>
  </si>
  <si>
    <t>контейнер полімерний для дезінфекції для оснащення приміщень для розміщення системи ангіографічної</t>
  </si>
  <si>
    <t>03/02</t>
  </si>
  <si>
    <r>
      <rPr>
        <b/>
        <sz val="12"/>
        <color rgb="FFFF0000"/>
        <rFont val="Times New Roman"/>
        <family val="1"/>
        <charset val="204"/>
      </rPr>
      <t>ФОП Заболотна О.Л.</t>
    </r>
    <r>
      <rPr>
        <sz val="12"/>
        <color theme="1"/>
        <rFont val="Times New Roman"/>
        <family val="1"/>
        <charset val="204"/>
      </rPr>
      <t xml:space="preserve"> (казначейство р/р UA628201720344311008400099569) КПК 0712010 </t>
    </r>
  </si>
  <si>
    <t>04/02</t>
  </si>
  <si>
    <t>опромінювач бактерицидний для оснащення приміщень паліативного відділення</t>
  </si>
  <si>
    <t>0804</t>
  </si>
  <si>
    <t>ліхтарик діагностичний для оснащення приміщень для розміщення системи ангіографічної</t>
  </si>
  <si>
    <t>ЛО-01/04/2024/3</t>
  </si>
  <si>
    <t>ТОВ "СН Медсервіс"</t>
  </si>
  <si>
    <t>боковий і задній підшипник для ремонту системи рентгенівської діагностичної IMAX</t>
  </si>
  <si>
    <t>0304</t>
  </si>
  <si>
    <t>дозатори для оснащення приміщень паліативного відділення</t>
  </si>
  <si>
    <t>0204</t>
  </si>
  <si>
    <t>дозатори, диспенсери для оснащення приміщень для розміщення системи ангіографічної</t>
  </si>
  <si>
    <t>ЛО-01/04/2024/1</t>
  </si>
  <si>
    <r>
      <rPr>
        <b/>
        <sz val="12"/>
        <color rgb="FFFF0000"/>
        <rFont val="Times New Roman"/>
        <family val="1"/>
        <charset val="204"/>
      </rPr>
      <t>ТОВ "СН Медсервіс"</t>
    </r>
    <r>
      <rPr>
        <sz val="12"/>
        <color theme="1"/>
        <rFont val="Times New Roman"/>
        <family val="1"/>
        <charset val="204"/>
      </rPr>
      <t xml:space="preserve"> (казначейство р/р UA628201720344311008400099569) КПК 0712010 </t>
    </r>
  </si>
  <si>
    <t>0104</t>
  </si>
  <si>
    <t>килимок діелектричний для оснащення приміщень для розміщення системи ангіографічної</t>
  </si>
  <si>
    <t>0604</t>
  </si>
  <si>
    <t>окуляри рентгенозахисні для оснащення приміщень для розміщення системи ангіографічної</t>
  </si>
  <si>
    <t>299</t>
  </si>
  <si>
    <t>ЛО-01/04/2024/2</t>
  </si>
  <si>
    <t>303</t>
  </si>
  <si>
    <t>ПП "Світ жалюзі"</t>
  </si>
  <si>
    <t>тканеві ролети, жалюзі вертикальні для оснащення приміщень паліативного відділення</t>
  </si>
  <si>
    <t>93</t>
  </si>
  <si>
    <t>30.01.24</t>
  </si>
  <si>
    <t>ТОВ "СТМ-Фарм"</t>
  </si>
  <si>
    <t>фартух хірургічний, комір захисний для оснащення приміщень для розміщення системи ангіографічної</t>
  </si>
  <si>
    <t>304</t>
  </si>
  <si>
    <t>СПД-ФО Матвійчук З.М.</t>
  </si>
  <si>
    <t>замок врізний</t>
  </si>
  <si>
    <t>309</t>
  </si>
  <si>
    <r>
      <rPr>
        <b/>
        <sz val="12"/>
        <color rgb="FFFF0000"/>
        <rFont val="Times New Roman"/>
        <family val="1"/>
        <charset val="204"/>
      </rPr>
      <t>ФОП Гунько Д.В.</t>
    </r>
    <r>
      <rPr>
        <sz val="12"/>
        <color theme="1"/>
        <rFont val="Times New Roman"/>
        <family val="1"/>
        <charset val="204"/>
      </rPr>
      <t xml:space="preserve"> (казначейство р/р UA628201720344311008400099569) КПК 0712010 </t>
    </r>
  </si>
  <si>
    <t>310</t>
  </si>
  <si>
    <t>пральна машина, телевізор, холодильник для оснащення приміщень паліативного відділення</t>
  </si>
  <si>
    <t>12.04.24</t>
  </si>
  <si>
    <t>05/02</t>
  </si>
  <si>
    <t>контейнер для утилізації медичних відходів для оснащення приміщень паліативного відділення</t>
  </si>
  <si>
    <t>312</t>
  </si>
  <si>
    <t>КП "Аптека № 90"</t>
  </si>
  <si>
    <t>шипшини плоди</t>
  </si>
  <si>
    <t>313</t>
  </si>
  <si>
    <t>глод, календула, м'ята, причепа, ромашка</t>
  </si>
  <si>
    <t>315</t>
  </si>
  <si>
    <t>аміак, протаміну сульфат</t>
  </si>
  <si>
    <t>320</t>
  </si>
  <si>
    <t>ФОП Шарлай М.С.</t>
  </si>
  <si>
    <t>кондиціонер для оснащення приміщень паліативного відділення</t>
  </si>
  <si>
    <t>5/02</t>
  </si>
  <si>
    <r>
      <rPr>
        <b/>
        <sz val="12"/>
        <color rgb="FFFF0000"/>
        <rFont val="Times New Roman"/>
        <family val="1"/>
        <charset val="204"/>
      </rPr>
      <t>ТОВ "Техномер"</t>
    </r>
    <r>
      <rPr>
        <sz val="12"/>
        <color theme="1"/>
        <rFont val="Times New Roman"/>
        <family val="1"/>
        <charset val="204"/>
      </rPr>
      <t xml:space="preserve"> (казначейство р/р UA628201720344311008400099569) КПК 0712010 </t>
    </r>
  </si>
  <si>
    <t>3382</t>
  </si>
  <si>
    <r>
      <t xml:space="preserve">АТ "ПОЛТАВАОБЛЕНЕРГО" </t>
    </r>
    <r>
      <rPr>
        <sz val="12"/>
        <rFont val="Times New Roman"/>
        <family val="1"/>
        <charset val="204"/>
      </rPr>
      <t>(казначейство р/р UA608201720344351013400099569) КПК 0717322</t>
    </r>
  </si>
  <si>
    <t>316</t>
  </si>
  <si>
    <t>322</t>
  </si>
  <si>
    <t>замок, ручка, циліндр</t>
  </si>
  <si>
    <t>268</t>
  </si>
  <si>
    <t>ТОВ "Кремінь - Автосвіт"</t>
  </si>
  <si>
    <t>стартер</t>
  </si>
  <si>
    <t>267</t>
  </si>
  <si>
    <t>05.04.24</t>
  </si>
  <si>
    <t>зняття/встановлення двигуна, заміна стартера, діагностика ходової</t>
  </si>
  <si>
    <t>307</t>
  </si>
  <si>
    <t>11.04.24</t>
  </si>
  <si>
    <t>рулони</t>
  </si>
  <si>
    <t>ФОП Плахутіна А.С. ТЗ UA-2024-03-22-005989-а від 11.04.24</t>
  </si>
  <si>
    <t>250</t>
  </si>
  <si>
    <t>ФОП Падусенко Н.В.</t>
  </si>
  <si>
    <t>237</t>
  </si>
  <si>
    <t>236</t>
  </si>
  <si>
    <t>основні органічні хімічні речовини</t>
  </si>
  <si>
    <t>234</t>
  </si>
  <si>
    <t>посуд медичного призначення</t>
  </si>
  <si>
    <t>277</t>
  </si>
  <si>
    <t>253</t>
  </si>
  <si>
    <t>254</t>
  </si>
  <si>
    <t>02.04.24</t>
  </si>
  <si>
    <t>ФОП Борщова Н.В.</t>
  </si>
  <si>
    <t>285</t>
  </si>
  <si>
    <t>відділення післядипломної освіти, цикл спеціалізації "Паліативна і хоспісна допомога" - сестра медична</t>
  </si>
  <si>
    <t>19.02.24</t>
  </si>
  <si>
    <t>послуги з друку</t>
  </si>
  <si>
    <t>308</t>
  </si>
  <si>
    <t>книга протоколів</t>
  </si>
  <si>
    <t>331</t>
  </si>
  <si>
    <t>24.04.24</t>
  </si>
  <si>
    <t>гель для УЗД</t>
  </si>
  <si>
    <t>200</t>
  </si>
  <si>
    <t>ТОВ "Компоненти TI"</t>
  </si>
  <si>
    <t>швидкі тести</t>
  </si>
  <si>
    <t>337</t>
  </si>
  <si>
    <r>
      <rPr>
        <b/>
        <sz val="12"/>
        <color rgb="FFFF0000"/>
        <rFont val="Times New Roman"/>
        <family val="1"/>
        <charset val="204"/>
      </rPr>
      <t>ФОП Стрельчук Є.В.</t>
    </r>
    <r>
      <rPr>
        <sz val="12"/>
        <color theme="1"/>
        <rFont val="Times New Roman"/>
        <family val="1"/>
        <charset val="204"/>
      </rPr>
      <t xml:space="preserve"> (казначейство р/р UA628201720344311008400099569) КПК 0712010 </t>
    </r>
  </si>
  <si>
    <t>комп'ютер з комплектуючими</t>
  </si>
  <si>
    <t>323</t>
  </si>
  <si>
    <t>22.04.24</t>
  </si>
  <si>
    <t>ТОВ "СОН ТА ДИХАННЯ" ТЗ UA-2024-04-03-000429-а від 22.04.2024</t>
  </si>
  <si>
    <t>електрокардіограф в комплекті з сумкою та аксесуарами</t>
  </si>
  <si>
    <t>227</t>
  </si>
  <si>
    <t>22.03.24</t>
  </si>
  <si>
    <t>ФОП Фріж І.В.</t>
  </si>
  <si>
    <t>стерильний аплікатор</t>
  </si>
  <si>
    <t>334</t>
  </si>
  <si>
    <t>ПАКС-08-24</t>
  </si>
  <si>
    <t>21.02.24</t>
  </si>
  <si>
    <t>ТОВ "Телемед.ЮА"</t>
  </si>
  <si>
    <t>річний пакет послуг оновлення спеціалізованого програмного забезпечення для роботи з медичними зображеннями</t>
  </si>
  <si>
    <t>08.12.23</t>
  </si>
  <si>
    <t>906</t>
  </si>
  <si>
    <t>ПП "Медівайс"</t>
  </si>
  <si>
    <t>гістологічні дослідження</t>
  </si>
  <si>
    <t>05.01.23</t>
  </si>
  <si>
    <t>349</t>
  </si>
  <si>
    <t>спеціальна підготовка осіб, які залучаються підприємствами, до проведення інструктажів, навчання та перевірка знань з питань цивільного захисту, техногенної та пожежної безпеки</t>
  </si>
  <si>
    <t>343</t>
  </si>
  <si>
    <t>342</t>
  </si>
  <si>
    <t>контейнер для сміття для оснащення приміщень паліативного відділення</t>
  </si>
  <si>
    <t>комод для оснащення приміщень паліативного відділення</t>
  </si>
  <si>
    <t>340</t>
  </si>
  <si>
    <t>інформаційний стенд для оснащення приміщень паліативного відділення</t>
  </si>
  <si>
    <t>341</t>
  </si>
  <si>
    <t>тримач для рушників, штанга телескопічна, кутова полиця, бумаготримач для оснащення приміщень паліативного відділення</t>
  </si>
  <si>
    <t>336</t>
  </si>
  <si>
    <t>ФОП Стрельчук Є.В.</t>
  </si>
  <si>
    <t>монітор, багатофункціональний пристрій для оснащення приміщень паліативного відділення</t>
  </si>
  <si>
    <t>339</t>
  </si>
  <si>
    <t>79/24</t>
  </si>
  <si>
    <t>344</t>
  </si>
  <si>
    <t>ТОВ "Артметод"</t>
  </si>
  <si>
    <t>акумуляторна батарея</t>
  </si>
  <si>
    <t>345</t>
  </si>
  <si>
    <t>29.04.24</t>
  </si>
  <si>
    <t>фільтри для хірургічного відсмоктувача</t>
  </si>
  <si>
    <t>70/24</t>
  </si>
  <si>
    <t>286</t>
  </si>
  <si>
    <t>ФОП Грицай В.М.</t>
  </si>
  <si>
    <t>ліжко - вертикалізатор ТЗ UA-2024-03-21-004758-а від 08.04.2024</t>
  </si>
  <si>
    <t>319</t>
  </si>
  <si>
    <t>16.04.24</t>
  </si>
  <si>
    <t>технічне обслуговування, монтаж кондиціонера</t>
  </si>
  <si>
    <t>0904-11</t>
  </si>
  <si>
    <t>ФОП Гаврільченко Т.О.</t>
  </si>
  <si>
    <t>контейнери</t>
  </si>
  <si>
    <t>65/24</t>
  </si>
  <si>
    <t>04.01.24</t>
  </si>
  <si>
    <t>347</t>
  </si>
  <si>
    <t xml:space="preserve">ремонт силової електроніки, блоку керування </t>
  </si>
  <si>
    <t>346</t>
  </si>
  <si>
    <t>замки, ручки, циліндри</t>
  </si>
  <si>
    <t>351</t>
  </si>
  <si>
    <t>30.04.24</t>
  </si>
  <si>
    <t>ремонт і технічне обслуговування техніки</t>
  </si>
  <si>
    <t>773</t>
  </si>
  <si>
    <t>355</t>
  </si>
  <si>
    <t>01.05.24</t>
  </si>
  <si>
    <t>ФОП Гавриленко А.А.</t>
  </si>
  <si>
    <t>розробка проектної документації, встановлення вузла обліку теплової енергії в будівлі основного корпусу ЛІЛ</t>
  </si>
  <si>
    <t>354</t>
  </si>
  <si>
    <t>встановлення вузла обліку теплової енергії в будівлі основного корпусу ЛІЛ</t>
  </si>
  <si>
    <t>ФОП Гавриленко А. В.</t>
  </si>
  <si>
    <t>350</t>
  </si>
  <si>
    <t>036/011/411092</t>
  </si>
  <si>
    <t>обов'язкове страхування цивільно-правової відповідальності власників транспортних засобів</t>
  </si>
  <si>
    <t>шафа, столик, підставка, корзина, штатив для оснащення приміщень для розміщення системи ангіографічної</t>
  </si>
  <si>
    <r>
      <t xml:space="preserve">шафа металева, оснащення приміщень для розміщення </t>
    </r>
    <r>
      <rPr>
        <b/>
        <sz val="10"/>
        <color rgb="FFFF0000"/>
        <rFont val="Times New Roman"/>
        <family val="1"/>
        <charset val="204"/>
      </rPr>
      <t>системи ангіографічної</t>
    </r>
  </si>
  <si>
    <t>359</t>
  </si>
  <si>
    <t>360</t>
  </si>
  <si>
    <t>ФОП Бакай Г.С. 2610 - 80200,00 ТЗ UA-2024-04-16-006930-а від 06.05.2024</t>
  </si>
  <si>
    <t>363</t>
  </si>
  <si>
    <r>
      <t xml:space="preserve">ТОВ "Кремелектро" </t>
    </r>
    <r>
      <rPr>
        <sz val="12"/>
        <rFont val="Times New Roman"/>
        <family val="1"/>
        <charset val="204"/>
      </rPr>
      <t>(казначейство р/р UA608201720344351013400099569) КПК 0717322</t>
    </r>
  </si>
  <si>
    <t>365</t>
  </si>
  <si>
    <t>128/24-ФО</t>
  </si>
  <si>
    <t>КП "Муніципальна варта" д.уг. №1 від 07.05.24</t>
  </si>
  <si>
    <t>фізична охорона</t>
  </si>
  <si>
    <t>361</t>
  </si>
  <si>
    <r>
      <rPr>
        <b/>
        <sz val="12"/>
        <color rgb="FFFF0000"/>
        <rFont val="Times New Roman"/>
        <family val="1"/>
        <charset val="204"/>
      </rPr>
      <t xml:space="preserve">ТОВ "СІНЕКС" </t>
    </r>
    <r>
      <rPr>
        <sz val="12"/>
        <color theme="1"/>
        <rFont val="Times New Roman"/>
        <family val="1"/>
        <charset val="204"/>
      </rPr>
      <t>(казначейство р/р UA628201720344311008400099569) КПК 0712010 ТЗ UA-2024-04-19-004010-а від 07.05.2024</t>
    </r>
  </si>
  <si>
    <t>0502-П</t>
  </si>
  <si>
    <r>
      <t xml:space="preserve">ТОВ "Виробниче об'єднання Спецкиївбуд" </t>
    </r>
    <r>
      <rPr>
        <sz val="12"/>
        <rFont val="Times New Roman"/>
        <family val="1"/>
        <charset val="204"/>
      </rPr>
      <t>(казначейство р/р UA608201720344351013400099569) КПК 0717322</t>
    </r>
  </si>
  <si>
    <t>367</t>
  </si>
  <si>
    <t>ФОП Грицай В.М. 2610 - 14620,00 ТЗ UA-2024-04-22-009493-а від 08.05.2024</t>
  </si>
  <si>
    <t>стійка для приладів медичних для оснащення приміщень для розміщення системи ангіографічної</t>
  </si>
  <si>
    <t>370</t>
  </si>
  <si>
    <t>ФОП Моісєєнко А.С. 2610 - 9930,00 ТЗ UA-2024-04-19-005161-а від 09.05.2024</t>
  </si>
  <si>
    <t>відсмоктувач медичний для оснащення приміщень для розміщення системи ангіографічної</t>
  </si>
  <si>
    <t>364</t>
  </si>
  <si>
    <t>ФОП Стопник К.В.</t>
  </si>
  <si>
    <t>покришки з камерою</t>
  </si>
  <si>
    <t>371</t>
  </si>
  <si>
    <t>ТОВ "СІНЕКС" 2610 - 19206,00 ТЗ UA-2024-04-22-008226-а від 10.05.2024</t>
  </si>
  <si>
    <t>пульсоксиметр для оснащення приміщень для розміщення системи ангіографічної</t>
  </si>
  <si>
    <t>373</t>
  </si>
  <si>
    <r>
      <rPr>
        <b/>
        <sz val="12"/>
        <color rgb="FFFF0000"/>
        <rFont val="Times New Roman"/>
        <family val="1"/>
        <charset val="204"/>
      </rPr>
      <t xml:space="preserve">ТОВ "Мед Ексім" </t>
    </r>
    <r>
      <rPr>
        <sz val="12"/>
        <color theme="1"/>
        <rFont val="Times New Roman"/>
        <family val="1"/>
        <charset val="204"/>
      </rPr>
      <t>(казначейство р/р UA628201720344311008400099569) КПК 0712010 ТЗ UA-2024-04-23-003675-а від 13.05.2024</t>
    </r>
  </si>
  <si>
    <t>375</t>
  </si>
  <si>
    <r>
      <rPr>
        <b/>
        <sz val="12"/>
        <color rgb="FFFF0000"/>
        <rFont val="Times New Roman"/>
        <family val="1"/>
        <charset val="204"/>
      </rPr>
      <t xml:space="preserve">ТОВ "Мед Ексім" </t>
    </r>
    <r>
      <rPr>
        <sz val="12"/>
        <color theme="1"/>
        <rFont val="Times New Roman"/>
        <family val="1"/>
        <charset val="204"/>
      </rPr>
      <t>(казначейство р/р UA628201720344311008400099569) КПК 0712010 ТЗ UA-2024-04-24-005171-а від 13.05.2024</t>
    </r>
  </si>
  <si>
    <t>377</t>
  </si>
  <si>
    <t>362</t>
  </si>
  <si>
    <t>07.05.24</t>
  </si>
  <si>
    <t>376</t>
  </si>
  <si>
    <t>13.05.24</t>
  </si>
  <si>
    <t>356</t>
  </si>
  <si>
    <t>02.05.24</t>
  </si>
  <si>
    <t>ФОП Заболотна О.Л. ТЗ UA-2024-04-16-007338-а від 02.05.2024</t>
  </si>
  <si>
    <t>картридж із кліпсами, степлер хірургічний, чохол для шнура, ріжуча головка до електродерматома (устаткування для операційних блоків)</t>
  </si>
  <si>
    <t>379</t>
  </si>
  <si>
    <r>
      <rPr>
        <b/>
        <sz val="12"/>
        <color rgb="FFFF0000"/>
        <rFont val="Times New Roman"/>
        <family val="1"/>
        <charset val="204"/>
      </rPr>
      <t xml:space="preserve">ФОП Моісєєнко А.С. </t>
    </r>
    <r>
      <rPr>
        <sz val="12"/>
        <color theme="1"/>
        <rFont val="Times New Roman"/>
        <family val="1"/>
        <charset val="204"/>
      </rPr>
      <t xml:space="preserve">(казначейство р/р UA628201720344311008400099569) КПК 0712010 ТЗ UA-2024-04-23-000411-а від 14.05.2024 </t>
    </r>
  </si>
  <si>
    <t>382</t>
  </si>
  <si>
    <t>ФОП Абдюшев Р.Р.</t>
  </si>
  <si>
    <t>кліше печатки, штамп кліше, штамп кутовий кліше</t>
  </si>
  <si>
    <t>383</t>
  </si>
  <si>
    <t>ФОП Курятник А.В.</t>
  </si>
  <si>
    <t>касова стрічка, особова картка</t>
  </si>
  <si>
    <t>384</t>
  </si>
  <si>
    <t>594</t>
  </si>
  <si>
    <t>Українська військово-медична академія</t>
  </si>
  <si>
    <t>цикл тематичного удосконалення "Військово-лікарська експертиза"</t>
  </si>
  <si>
    <t>325</t>
  </si>
  <si>
    <t>відділення післядипломної освіти, цикл тематичного удосконалення "Організація і управління" - сестра медична</t>
  </si>
  <si>
    <t>381</t>
  </si>
  <si>
    <t>ФОП Заболотна О.Л. ТЗ UA-2024-05-07-004705-а від 14.05.2024</t>
  </si>
  <si>
    <t>петля одна голка (медичні матеріали)</t>
  </si>
  <si>
    <t>картридж з кліпсами, степлер хірургічний шкірний, чохол для шнура, ріжуча головка до електродерматома</t>
  </si>
  <si>
    <t>09.01.24</t>
  </si>
  <si>
    <t>кисень медичний рідкий</t>
  </si>
  <si>
    <t>АТ "Полтавський завод медичного скла" ТЗ UA-2023-12-20-004051-а від 09.01.2024</t>
  </si>
  <si>
    <t>немає одного акта</t>
  </si>
  <si>
    <t>52</t>
  </si>
  <si>
    <t>54</t>
  </si>
  <si>
    <r>
      <rPr>
        <b/>
        <sz val="12"/>
        <color rgb="FFFF0000"/>
        <rFont val="Times New Roman"/>
        <family val="1"/>
        <charset val="204"/>
      </rPr>
      <t>ТОВ "ОКОНІКА"</t>
    </r>
    <r>
      <rPr>
        <sz val="12"/>
        <color theme="1"/>
        <rFont val="Times New Roman"/>
        <family val="1"/>
        <charset val="204"/>
      </rPr>
      <t xml:space="preserve"> (казначейство р/р UA628201720344311008400099569) КПК 0712010 д.уг.№1 від 24.05.24</t>
    </r>
  </si>
  <si>
    <t>397</t>
  </si>
  <si>
    <t>402</t>
  </si>
  <si>
    <t>398</t>
  </si>
  <si>
    <t>змішувач, шланг, сифон</t>
  </si>
  <si>
    <t>403</t>
  </si>
  <si>
    <t>04.06.24</t>
  </si>
  <si>
    <t>цикл ТУ на тему "Менеджмент гострих інсультів"</t>
  </si>
  <si>
    <t>23.04.24</t>
  </si>
  <si>
    <t>156</t>
  </si>
  <si>
    <t>23.02.24</t>
  </si>
  <si>
    <t>бетадин</t>
  </si>
  <si>
    <t>194</t>
  </si>
  <si>
    <t>ТОВ "Медичний центр "М.Т.К." ТЗ UA-2024-03-04-007077-а від 08.03.2024</t>
  </si>
  <si>
    <t>10.01.24</t>
  </si>
  <si>
    <t>омнопон</t>
  </si>
  <si>
    <t>162/2024</t>
  </si>
  <si>
    <t>19.03.24</t>
  </si>
  <si>
    <t>ТОВ "Медпрофіль"</t>
  </si>
  <si>
    <t>326</t>
  </si>
  <si>
    <t>термометри</t>
  </si>
  <si>
    <t>ТОВ "Катарес"</t>
  </si>
  <si>
    <t>287</t>
  </si>
  <si>
    <t>тахибен</t>
  </si>
  <si>
    <t>283</t>
  </si>
  <si>
    <t>ТОВ "Лайтмед" ТЗ UA-2024-03-21-001345-а від 08.04.2024</t>
  </si>
  <si>
    <t>167</t>
  </si>
  <si>
    <t>ТОВ "ВОК Груп"</t>
  </si>
  <si>
    <t>215</t>
  </si>
  <si>
    <t>Міжлікарняна аптека № 207 - філія ПОКП "Полтавафарм" Аптека № 212</t>
  </si>
  <si>
    <t>неорганічні хімічні речовини</t>
  </si>
  <si>
    <t>161/2024</t>
  </si>
  <si>
    <t>218</t>
  </si>
  <si>
    <t>20.03.24</t>
  </si>
  <si>
    <t xml:space="preserve">ТОВ "Аметрін ФК" ТЗ UA-2024-03-13-008938-a від 20.03.2024 </t>
  </si>
  <si>
    <t>150</t>
  </si>
  <si>
    <t>ФОП Найдьонов Є.М.</t>
  </si>
  <si>
    <t>10/11-02</t>
  </si>
  <si>
    <t>ТОВ "ТЕРРАЛАБ СОФТ"</t>
  </si>
  <si>
    <t>консультаційні послуги щодо інтеграції між інформаційними системами</t>
  </si>
  <si>
    <t>247</t>
  </si>
  <si>
    <t>28.03.24</t>
  </si>
  <si>
    <t>ТОВ "ЛЕДУМ"</t>
  </si>
  <si>
    <t>медичне обладнання та вироби медичного призначення</t>
  </si>
  <si>
    <r>
      <rPr>
        <b/>
        <sz val="12"/>
        <color rgb="FFFF0000"/>
        <rFont val="Times New Roman"/>
        <family val="1"/>
        <charset val="204"/>
      </rPr>
      <t>ПП "Кремінбуд"</t>
    </r>
    <r>
      <rPr>
        <sz val="12"/>
        <color theme="1"/>
        <rFont val="Times New Roman"/>
        <family val="1"/>
        <charset val="204"/>
      </rPr>
      <t xml:space="preserve"> (казначейство р/р UA608201720344351013400099569) КПК 0717322 д.уг. № 1 від 29.04.2024</t>
    </r>
  </si>
  <si>
    <t>405</t>
  </si>
  <si>
    <r>
      <t xml:space="preserve">ФОП Яцина О.П. </t>
    </r>
    <r>
      <rPr>
        <sz val="12"/>
        <rFont val="Times New Roman"/>
        <family val="1"/>
        <charset val="204"/>
      </rPr>
      <t>(казначейство р/р UA608201720344351013400099569) КПК 0717322</t>
    </r>
  </si>
  <si>
    <t>332</t>
  </si>
  <si>
    <t>відділення післядипломної освіти, цикл тематичного удосконалення "Клінічна діагностика" - лаборант</t>
  </si>
  <si>
    <t>1437/Е</t>
  </si>
  <si>
    <t>ТОВ "Екоекспертиза"</t>
  </si>
  <si>
    <t>408</t>
  </si>
  <si>
    <t>штемпельна фарба, подушка</t>
  </si>
  <si>
    <t>410</t>
  </si>
  <si>
    <r>
      <rPr>
        <b/>
        <sz val="12"/>
        <color rgb="FFFF0000"/>
        <rFont val="Times New Roman"/>
        <family val="1"/>
        <charset val="204"/>
      </rPr>
      <t>КВП "Кременчуцьке міське управління капітального будівництва"</t>
    </r>
    <r>
      <rPr>
        <sz val="12"/>
        <color theme="1"/>
        <rFont val="Times New Roman"/>
        <family val="1"/>
        <charset val="204"/>
      </rPr>
      <t xml:space="preserve"> (казначейство р/р UA628201720344311008400099569) КПК 0712010 д.уг.№1 від 04.06.24</t>
    </r>
  </si>
  <si>
    <t>389</t>
  </si>
  <si>
    <t>бальзам шавлія, бішофіт, медея</t>
  </si>
  <si>
    <t>ЛО-31/05/2024</t>
  </si>
  <si>
    <t>ТОВ "СН Медсервіс" ТЗ UA-2024-05-22-010521-а від 06.06.2024</t>
  </si>
  <si>
    <t>поточний ремонт системи рентгенівської діагностичної IMAX</t>
  </si>
  <si>
    <t>414</t>
  </si>
  <si>
    <t>2340-Н-С</t>
  </si>
  <si>
    <t xml:space="preserve">ТОВ "Сіменс Медицина" </t>
  </si>
  <si>
    <t>послуги з діагностики несправності Somatom go. Top</t>
  </si>
  <si>
    <t>430</t>
  </si>
  <si>
    <r>
      <t xml:space="preserve">ФОП Заболотна О.Л. </t>
    </r>
    <r>
      <rPr>
        <sz val="12"/>
        <rFont val="Times New Roman"/>
        <family val="1"/>
        <charset val="204"/>
      </rPr>
      <t>(казначейство р/р UA628201720344311008400099569) КПК 0712010</t>
    </r>
  </si>
  <si>
    <t>перезаряджання вогнегасників</t>
  </si>
  <si>
    <t>ФОП Соломка О.М.</t>
  </si>
  <si>
    <t>сік яблучний</t>
  </si>
  <si>
    <t>424</t>
  </si>
  <si>
    <t>423</t>
  </si>
  <si>
    <t>гідроакумулятор</t>
  </si>
  <si>
    <t>с/р дитяча</t>
  </si>
  <si>
    <t>412</t>
  </si>
  <si>
    <t>замок, циліндр, ручка</t>
  </si>
  <si>
    <t>421</t>
  </si>
  <si>
    <t>418</t>
  </si>
  <si>
    <t>06.06.24</t>
  </si>
  <si>
    <t>434</t>
  </si>
  <si>
    <t>14.06.24</t>
  </si>
  <si>
    <t>ТОВ "Івік Формула Води"</t>
  </si>
  <si>
    <t>сіль таблетована</t>
  </si>
  <si>
    <t>439</t>
  </si>
  <si>
    <t>417</t>
  </si>
  <si>
    <t>метилурацил</t>
  </si>
  <si>
    <t>03/06-24</t>
  </si>
  <si>
    <t>ФОП Алдушина Н.І.</t>
  </si>
  <si>
    <t>розробка робочого проекту біологічного захисту від трентгенівського випромінювання системи ангіоргафічної</t>
  </si>
  <si>
    <t>118</t>
  </si>
  <si>
    <t>ТОВ "РІВНЕСТАНДАРТ" ТЗ UA-2024-01-16-003317-а від 09.02.2024</t>
  </si>
  <si>
    <t>повірка обладнання</t>
  </si>
  <si>
    <t>442</t>
  </si>
  <si>
    <t>1542/Е</t>
  </si>
  <si>
    <t>57</t>
  </si>
  <si>
    <t xml:space="preserve">ТОВ "Медпрофіль" </t>
  </si>
  <si>
    <t>448</t>
  </si>
  <si>
    <t>КП "Кременчукводоканал" д.уг.№2в.25.06.24</t>
  </si>
  <si>
    <t>452</t>
  </si>
  <si>
    <t>змішувач для оснащення приміщень для розміщення системи ангіографічної</t>
  </si>
  <si>
    <t>372</t>
  </si>
  <si>
    <t xml:space="preserve">ТОВ "Провіденс Медіка" ТЗ UA-2024-04-26-004765-a від 13.05.2024 </t>
  </si>
  <si>
    <t>78/24</t>
  </si>
  <si>
    <t>вентелі кінцеві</t>
  </si>
  <si>
    <t>77/24</t>
  </si>
  <si>
    <t>461</t>
  </si>
  <si>
    <t>462</t>
  </si>
  <si>
    <t>33/2024</t>
  </si>
  <si>
    <r>
      <t xml:space="preserve">ФОП Воловик О.М. </t>
    </r>
    <r>
      <rPr>
        <sz val="12"/>
        <rFont val="Times New Roman"/>
        <family val="1"/>
        <charset val="204"/>
      </rPr>
      <t>(казначейство р/р UA608201720344351013400099569) КПК 0717322</t>
    </r>
  </si>
  <si>
    <t>34/2024</t>
  </si>
  <si>
    <t>регулятор кисню зі зволожувачем, розетка киснева</t>
  </si>
  <si>
    <t>432</t>
  </si>
  <si>
    <t>КП "Полтавська обласна клінічна лікарня ім. М.В. Скліфосовського Полтавської обласної ради"</t>
  </si>
  <si>
    <t>відшкодування витрат, пов'язаних з проведенням санітарної дозиметрії та оформленням технічної документації</t>
  </si>
  <si>
    <t>904</t>
  </si>
  <si>
    <t>369</t>
  </si>
  <si>
    <t>утилізація небезпечних відходів</t>
  </si>
  <si>
    <t>ТОВ "Науково-виробнича компанія "Укрекопром" ТЗ UA-2024-04-17-009885-а від 09.05.2024</t>
  </si>
  <si>
    <t>305</t>
  </si>
  <si>
    <t xml:space="preserve">ПП "Віксав Груп" ТЗ UA-2024-04-04-007416-a від 09.04.2024 </t>
  </si>
  <si>
    <t>288</t>
  </si>
  <si>
    <t xml:space="preserve">ПП "Віксав Груп" ТЗ UA-2024-04-02-008244-a від 09.04.2024 </t>
  </si>
  <si>
    <t>396</t>
  </si>
  <si>
    <t>журнали, бланки</t>
  </si>
  <si>
    <t>464</t>
  </si>
  <si>
    <r>
      <t xml:space="preserve">ПП "Кремінбуд" </t>
    </r>
    <r>
      <rPr>
        <sz val="12"/>
        <rFont val="Times New Roman"/>
        <family val="1"/>
        <charset val="204"/>
      </rPr>
      <t>(казначейство р/р UA608201720344351013400099569) КПК 0717322</t>
    </r>
    <r>
      <rPr>
        <b/>
        <sz val="12"/>
        <color rgb="FFFF0000"/>
        <rFont val="Times New Roman"/>
        <family val="1"/>
        <charset val="204"/>
      </rPr>
      <t xml:space="preserve"> ТЗ UA-2024-06-06-010538-а від 02.07.2024</t>
    </r>
  </si>
  <si>
    <t>626</t>
  </si>
  <si>
    <t>466</t>
  </si>
  <si>
    <t>ТОВ "Кремінь-Автосвіт"</t>
  </si>
  <si>
    <t>трос ручного гальма, аерозоль</t>
  </si>
  <si>
    <t>392</t>
  </si>
  <si>
    <t>колодки гальмівні дискові</t>
  </si>
  <si>
    <t>393</t>
  </si>
  <si>
    <t>467</t>
  </si>
  <si>
    <r>
      <rPr>
        <b/>
        <sz val="12"/>
        <color rgb="FFFF0000"/>
        <rFont val="Times New Roman"/>
        <family val="1"/>
        <charset val="204"/>
      </rPr>
      <t>ТОВ "Єврострой Стандарт"</t>
    </r>
    <r>
      <rPr>
        <sz val="12"/>
        <color theme="1"/>
        <rFont val="Times New Roman"/>
        <family val="1"/>
        <charset val="204"/>
      </rPr>
      <t xml:space="preserve"> (казначейство р/р UA628201720344311008400099569) КПК 0712010 </t>
    </r>
  </si>
  <si>
    <t>137</t>
  </si>
  <si>
    <t xml:space="preserve">ФОП Побережна Ю.А. ТЗ UA-2024-02-09-009397-a від 19.02.2024 </t>
  </si>
  <si>
    <t>471</t>
  </si>
  <si>
    <t>470</t>
  </si>
  <si>
    <t>технічне обслуговування кондиціонерів</t>
  </si>
  <si>
    <t>406</t>
  </si>
  <si>
    <t xml:space="preserve">ТОВ "СТМ-Фарм" ТЗ UA-2024-05-23-001371-a від 29.05.2024 </t>
  </si>
  <si>
    <t>472</t>
  </si>
  <si>
    <t>416</t>
  </si>
  <si>
    <t>вікно металопластикове з комплектуючими</t>
  </si>
  <si>
    <t>473</t>
  </si>
  <si>
    <t>ФОП Риженко І.В.</t>
  </si>
  <si>
    <t>роботи з підготовки матеріалів необхідних для надання дозволу на розроблення технічної документації із землеустрою щодо встановлення (відновлення) меж земельної ділянки по вул. Лікаря Парнети, 16 та роботи з розроблення технічної документації із землеустрою щодо встановлення (відновлення) меж земельної ділянки для експлуатації і обслуговування будівель та споруд по вул. Лікаря Парнети, 16</t>
  </si>
  <si>
    <t>014/2024</t>
  </si>
  <si>
    <t>проведення обмірів та виготовлення технічного паспорта будівлі та споруди дитячої лікарні</t>
  </si>
  <si>
    <t>482</t>
  </si>
  <si>
    <t xml:space="preserve">шпалери, клей </t>
  </si>
  <si>
    <t>480</t>
  </si>
  <si>
    <t>ручка, циліндер</t>
  </si>
  <si>
    <t>483</t>
  </si>
  <si>
    <t xml:space="preserve">олива моторна та компресорна, мастило універсальне, циліндр, шланг, електроди </t>
  </si>
  <si>
    <t>481</t>
  </si>
  <si>
    <t>ТОВ "Вентиляторний завод "Горизонт"</t>
  </si>
  <si>
    <t>вентилятор, гнучкі вставки</t>
  </si>
  <si>
    <t>477</t>
  </si>
  <si>
    <t>479</t>
  </si>
  <si>
    <t>478</t>
  </si>
  <si>
    <t>456</t>
  </si>
  <si>
    <t>прегабалін</t>
  </si>
  <si>
    <t>Д-24/355</t>
  </si>
  <si>
    <t xml:space="preserve">ТОВ "Альбамед" ТЗ UA-2024-05-21-007181-a від 27.05.2024 </t>
  </si>
  <si>
    <t>наконечники</t>
  </si>
  <si>
    <t>6Н-24</t>
  </si>
  <si>
    <r>
      <rPr>
        <b/>
        <sz val="12"/>
        <color rgb="FFFF0000"/>
        <rFont val="Times New Roman"/>
        <family val="1"/>
        <charset val="204"/>
      </rPr>
      <t>Агропромислова проектно-будівельна фірма "Новатор"</t>
    </r>
    <r>
      <rPr>
        <sz val="12"/>
        <color theme="1"/>
        <rFont val="Times New Roman"/>
        <family val="1"/>
        <charset val="204"/>
      </rPr>
      <t xml:space="preserve"> (казначейство р/р UA628201720344311008400099569) КПК 0712010 </t>
    </r>
  </si>
  <si>
    <t>486</t>
  </si>
  <si>
    <r>
      <rPr>
        <b/>
        <sz val="12"/>
        <color rgb="FFFF0000"/>
        <rFont val="Times New Roman"/>
        <family val="1"/>
        <charset val="204"/>
      </rPr>
      <t>КВП "Кременчуцьке міське управління капітального будівництва"</t>
    </r>
    <r>
      <rPr>
        <sz val="12"/>
        <color theme="1"/>
        <rFont val="Times New Roman"/>
        <family val="1"/>
        <charset val="204"/>
      </rPr>
      <t xml:space="preserve"> (казначейство р/р UA608201720344351013400099569) КПК 0717322</t>
    </r>
  </si>
  <si>
    <t>488</t>
  </si>
  <si>
    <t>ФОП Будзинська Л.В.</t>
  </si>
  <si>
    <t>холодильник</t>
  </si>
  <si>
    <t>с/р дитяча (старий)</t>
  </si>
  <si>
    <t>с/р дитяча ЛІЛ</t>
  </si>
  <si>
    <t>395</t>
  </si>
  <si>
    <t>КМП "Лікарня Придніпровська"</t>
  </si>
  <si>
    <t>медичний огляд працівників</t>
  </si>
  <si>
    <t>469</t>
  </si>
  <si>
    <t>491</t>
  </si>
  <si>
    <t>ФОП Гавриленко А.В.</t>
  </si>
  <si>
    <t>встановлення вузла обліку теплової енергії будівлі інфекційного відділення ЛІЛ, пр. Л.Українки, б. 80</t>
  </si>
  <si>
    <t>492</t>
  </si>
  <si>
    <t>заміна вузла обліку теплової енергії основної будівлі ЛІЛ, пр. Л.Українки, б. 80</t>
  </si>
  <si>
    <t>2373-Н-С</t>
  </si>
  <si>
    <t>ТОВ "Сіменс Медицина"</t>
  </si>
  <si>
    <t>2375-Н-С</t>
  </si>
  <si>
    <r>
      <rPr>
        <b/>
        <sz val="12"/>
        <color rgb="FFFF0000"/>
        <rFont val="Times New Roman"/>
        <family val="1"/>
        <charset val="204"/>
      </rPr>
      <t>ТОВ "Сіменс Медицина"</t>
    </r>
    <r>
      <rPr>
        <sz val="12"/>
        <color theme="1"/>
        <rFont val="Times New Roman"/>
        <family val="1"/>
        <charset val="204"/>
      </rPr>
      <t xml:space="preserve"> (казначейство р/р UA628201720344311008400099569) КПК 0712010 </t>
    </r>
  </si>
  <si>
    <r>
      <t xml:space="preserve">роботи по встановленню запчастин в апараті SOMATOM </t>
    </r>
    <r>
      <rPr>
        <b/>
        <sz val="14"/>
        <color rgb="FFFF0000"/>
        <rFont val="Times New Roman"/>
        <family val="1"/>
        <charset val="204"/>
      </rPr>
      <t>КТ</t>
    </r>
  </si>
  <si>
    <t>503</t>
  </si>
  <si>
    <t>502</t>
  </si>
  <si>
    <t>монтаж кондиціонерів</t>
  </si>
  <si>
    <t>501</t>
  </si>
  <si>
    <t>кондиціонери</t>
  </si>
  <si>
    <t>499</t>
  </si>
  <si>
    <t>497</t>
  </si>
  <si>
    <r>
      <rPr>
        <b/>
        <sz val="12"/>
        <color rgb="FFFF0000"/>
        <rFont val="Times New Roman"/>
        <family val="1"/>
        <charset val="204"/>
      </rPr>
      <t>ПП "Кремінбуд"</t>
    </r>
    <r>
      <rPr>
        <sz val="12"/>
        <color theme="1"/>
        <rFont val="Times New Roman"/>
        <family val="1"/>
        <charset val="204"/>
      </rPr>
      <t xml:space="preserve"> (казначейство р/р UA608201720344351013400099569) КПК 0717322</t>
    </r>
  </si>
  <si>
    <t>208</t>
  </si>
  <si>
    <t>тести для виявлення прихованої крові</t>
  </si>
  <si>
    <t>504</t>
  </si>
  <si>
    <t>глоду плоди, м'яти, солодки</t>
  </si>
  <si>
    <t>505</t>
  </si>
  <si>
    <t>бішофіт</t>
  </si>
  <si>
    <t>1000376190</t>
  </si>
  <si>
    <t>ФОП Ганська В.В.</t>
  </si>
  <si>
    <t>доступ в режимі он-лайн до електронних баз наукової та науково-технічної інформації, інформаційного ресурсу Довідник головної медичної сестри</t>
  </si>
  <si>
    <t>2385-Н-С</t>
  </si>
  <si>
    <t>96</t>
  </si>
  <si>
    <t>ТОВ "Ортуслаб"</t>
  </si>
  <si>
    <t>тест-смужки, тести</t>
  </si>
  <si>
    <r>
      <t xml:space="preserve">розробка проектно-кошторисної документації по об'єкту: </t>
    </r>
    <r>
      <rPr>
        <b/>
        <sz val="10"/>
        <color rgb="FFFF0000"/>
        <rFont val="Times New Roman"/>
        <family val="1"/>
        <charset val="204"/>
      </rPr>
      <t>"Капітальний ремонт (термомодернізація) бокової частини будівлі основного корпусу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0"/>
        <color rgb="FF00B050"/>
        <rFont val="Times New Roman"/>
        <family val="1"/>
        <charset val="204"/>
      </rPr>
      <t>КНМП "Лікарня інтенсивного лікування "Кременчуцька"</t>
    </r>
    <r>
      <rPr>
        <b/>
        <sz val="10"/>
        <color theme="1"/>
        <rFont val="Times New Roman"/>
        <family val="1"/>
        <charset val="204"/>
      </rPr>
      <t xml:space="preserve"> за адресою: вул. Лікаря Парнети, 2 м. Кременчук"</t>
    </r>
  </si>
  <si>
    <r>
      <t xml:space="preserve">роботи з капітального ремонту </t>
    </r>
    <r>
      <rPr>
        <b/>
        <sz val="10"/>
        <color rgb="FFFF0000"/>
        <rFont val="Times New Roman"/>
        <family val="1"/>
        <charset val="204"/>
      </rPr>
      <t>"Капітальний ремонт (термомодернізація) бокової частини будівлі основного корпусу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0"/>
        <color rgb="FF00B050"/>
        <rFont val="Times New Roman"/>
        <family val="1"/>
        <charset val="204"/>
      </rPr>
      <t>КНМП "Лікарня інтенсивного лікування "Кременчуцька"</t>
    </r>
    <r>
      <rPr>
        <b/>
        <sz val="10"/>
        <color theme="1"/>
        <rFont val="Times New Roman"/>
        <family val="1"/>
        <charset val="204"/>
      </rPr>
      <t xml:space="preserve"> за адресою: вул. Лікаря Парнети, 2 м. Кременчук"</t>
    </r>
  </si>
  <si>
    <r>
      <t xml:space="preserve">авторський нагляд по об'єкту: </t>
    </r>
    <r>
      <rPr>
        <b/>
        <sz val="10"/>
        <color rgb="FFFF0000"/>
        <rFont val="Times New Roman"/>
        <family val="1"/>
        <charset val="204"/>
      </rPr>
      <t>"Капітальний ремонт (термомодернізація) бокової частини будівлі основного корпусу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0"/>
        <color rgb="FF00B050"/>
        <rFont val="Times New Roman"/>
        <family val="1"/>
        <charset val="204"/>
      </rPr>
      <t>КНМП "Лікарня інтенсивного лікування "Кременчуцька"</t>
    </r>
    <r>
      <rPr>
        <b/>
        <sz val="10"/>
        <color theme="1"/>
        <rFont val="Times New Roman"/>
        <family val="1"/>
        <charset val="204"/>
      </rPr>
      <t xml:space="preserve"> за адресою: вул. Лікаря Парнети, 2 м. Кременчук"</t>
    </r>
  </si>
  <si>
    <r>
      <t xml:space="preserve">технічний нагляд за проведенням капітального ремонту на об'єкті: </t>
    </r>
    <r>
      <rPr>
        <b/>
        <sz val="10"/>
        <color rgb="FFFF0000"/>
        <rFont val="Times New Roman"/>
        <family val="1"/>
        <charset val="204"/>
      </rPr>
      <t>"Капітальний ремонт (термомодернізація) бокової частини будівлі основного корпусу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0"/>
        <color rgb="FF00B050"/>
        <rFont val="Times New Roman"/>
        <family val="1"/>
        <charset val="204"/>
      </rPr>
      <t>КНМП "Лікарня інтенсивного лікування "Кременчуцька"</t>
    </r>
    <r>
      <rPr>
        <b/>
        <sz val="10"/>
        <color theme="1"/>
        <rFont val="Times New Roman"/>
        <family val="1"/>
        <charset val="204"/>
      </rPr>
      <t xml:space="preserve"> за адресою: вул. Лікаря Парнети, 2 м. Кременчук"</t>
    </r>
  </si>
  <si>
    <r>
      <rPr>
        <b/>
        <sz val="10"/>
        <rFont val="Times New Roman"/>
        <family val="1"/>
        <charset val="204"/>
      </rPr>
      <t>роботи:</t>
    </r>
    <r>
      <rPr>
        <b/>
        <sz val="10"/>
        <color rgb="FFFF0000"/>
        <rFont val="Times New Roman"/>
        <family val="1"/>
        <charset val="204"/>
      </rPr>
      <t xml:space="preserve"> "Капітальний ремонт частини приміщень першого поверху будівлі основного корпусу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0"/>
        <color rgb="FF00B050"/>
        <rFont val="Times New Roman"/>
        <family val="1"/>
        <charset val="204"/>
      </rPr>
      <t>КНМП "Лікарня інтенсивного лікування "Кременчуцька"</t>
    </r>
    <r>
      <rPr>
        <b/>
        <sz val="10"/>
        <color rgb="FFFF0000"/>
        <rFont val="Times New Roman"/>
        <family val="1"/>
        <charset val="204"/>
      </rPr>
      <t xml:space="preserve"> для розміщення системи ангіографічної </t>
    </r>
    <r>
      <rPr>
        <b/>
        <sz val="10"/>
        <rFont val="Times New Roman"/>
        <family val="1"/>
        <charset val="204"/>
      </rPr>
      <t>за адресою: вул. Лікаря Парнети, 2 м. Кременчук"</t>
    </r>
    <r>
      <rPr>
        <b/>
        <sz val="10"/>
        <color theme="1"/>
        <rFont val="Times New Roman"/>
        <family val="1"/>
        <charset val="204"/>
      </rPr>
      <t xml:space="preserve"> </t>
    </r>
  </si>
  <si>
    <r>
      <rPr>
        <b/>
        <sz val="12"/>
        <color rgb="FFFF0000"/>
        <rFont val="Times New Roman"/>
        <family val="1"/>
        <charset val="204"/>
      </rPr>
      <t>КВП "Кременчуцьке міське управління капітального будівництва"</t>
    </r>
    <r>
      <rPr>
        <sz val="12"/>
        <color theme="1"/>
        <rFont val="Times New Roman"/>
        <family val="1"/>
        <charset val="204"/>
      </rPr>
      <t xml:space="preserve"> (казначейство р/р UA628201720344311008400099569) КПК 0712010 д.уг.№2 від 02.04.24</t>
    </r>
  </si>
  <si>
    <r>
      <rPr>
        <b/>
        <sz val="12"/>
        <color rgb="FFFF0000"/>
        <rFont val="Times New Roman"/>
        <family val="1"/>
        <charset val="204"/>
      </rPr>
      <t>ПП "Кремінбуд"</t>
    </r>
    <r>
      <rPr>
        <sz val="12"/>
        <color theme="1"/>
        <rFont val="Times New Roman"/>
        <family val="1"/>
        <charset val="204"/>
      </rPr>
      <t xml:space="preserve"> (казначейство р/р UA628201720344311008400099569) КПК 0712010 д.уг.№2 від 31.05.24</t>
    </r>
  </si>
  <si>
    <r>
      <t xml:space="preserve">відкоригування проектно-кошторисної документації по об'єкту: </t>
    </r>
    <r>
      <rPr>
        <b/>
        <sz val="10"/>
        <color rgb="FFFF0000"/>
        <rFont val="Times New Roman"/>
        <family val="1"/>
        <charset val="204"/>
      </rPr>
      <t>"Капітальний ремонт частини приміщень першого поверху будівлі основного корпусу будівлі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0"/>
        <color rgb="FF00B050"/>
        <rFont val="Times New Roman"/>
        <family val="1"/>
        <charset val="204"/>
      </rPr>
      <t xml:space="preserve">КНМП "Лікарня інтенсивного лікування "Кременчуцька" </t>
    </r>
    <r>
      <rPr>
        <b/>
        <sz val="10"/>
        <color rgb="FFFF0000"/>
        <rFont val="Times New Roman"/>
        <family val="1"/>
        <charset val="204"/>
      </rPr>
      <t>для розміщення системи ангіографічної</t>
    </r>
    <r>
      <rPr>
        <b/>
        <sz val="10"/>
        <color theme="1"/>
        <rFont val="Times New Roman"/>
        <family val="1"/>
        <charset val="204"/>
      </rPr>
      <t xml:space="preserve"> за адресою: вул. Лікаря Парнети, 2 м. Кременчук"</t>
    </r>
  </si>
  <si>
    <r>
      <rPr>
        <b/>
        <sz val="10"/>
        <color rgb="FF00B050"/>
        <rFont val="Times New Roman"/>
        <family val="1"/>
        <charset val="204"/>
      </rPr>
      <t>система</t>
    </r>
    <r>
      <rPr>
        <b/>
        <sz val="10"/>
        <color theme="1"/>
        <rFont val="Times New Roman"/>
        <family val="1"/>
        <charset val="204"/>
      </rPr>
      <t xml:space="preserve">, оснащення приміщень для розміщення </t>
    </r>
    <r>
      <rPr>
        <b/>
        <sz val="10"/>
        <color rgb="FFFF0000"/>
        <rFont val="Times New Roman"/>
        <family val="1"/>
        <charset val="204"/>
      </rPr>
      <t>системи ангіографічної</t>
    </r>
  </si>
  <si>
    <r>
      <rPr>
        <b/>
        <sz val="10"/>
        <color rgb="FF00B050"/>
        <rFont val="Times New Roman"/>
        <family val="1"/>
        <charset val="204"/>
      </rPr>
      <t>плата керування</t>
    </r>
    <r>
      <rPr>
        <b/>
        <sz val="10"/>
        <color theme="1"/>
        <rFont val="Times New Roman"/>
        <family val="1"/>
        <charset val="204"/>
      </rPr>
      <t xml:space="preserve"> для ремонту </t>
    </r>
    <r>
      <rPr>
        <b/>
        <sz val="10"/>
        <color rgb="FFFF0000"/>
        <rFont val="Times New Roman"/>
        <family val="1"/>
        <charset val="204"/>
      </rPr>
      <t>системи рентгенівської діагностичної IMAX</t>
    </r>
  </si>
  <si>
    <r>
      <rPr>
        <b/>
        <sz val="10"/>
        <color rgb="FF00B050"/>
        <rFont val="Times New Roman"/>
        <family val="1"/>
        <charset val="204"/>
      </rPr>
      <t>частотний перетворювач</t>
    </r>
    <r>
      <rPr>
        <b/>
        <sz val="10"/>
        <color theme="1"/>
        <rFont val="Times New Roman"/>
        <family val="1"/>
        <charset val="204"/>
      </rPr>
      <t xml:space="preserve"> для ремонту </t>
    </r>
    <r>
      <rPr>
        <b/>
        <sz val="10"/>
        <color rgb="FFFF0000"/>
        <rFont val="Times New Roman"/>
        <family val="1"/>
        <charset val="204"/>
      </rPr>
      <t>системи рентгенівської діагностичної IMAX</t>
    </r>
  </si>
  <si>
    <r>
      <rPr>
        <b/>
        <sz val="10"/>
        <color rgb="FF00B050"/>
        <rFont val="Times New Roman"/>
        <family val="1"/>
        <charset val="204"/>
      </rPr>
      <t>холодильник</t>
    </r>
    <r>
      <rPr>
        <b/>
        <sz val="10"/>
        <color theme="1"/>
        <rFont val="Times New Roman"/>
        <family val="1"/>
        <charset val="204"/>
      </rPr>
      <t xml:space="preserve">, оснащення приміщень для розміщення </t>
    </r>
    <r>
      <rPr>
        <b/>
        <sz val="10"/>
        <color rgb="FFFF0000"/>
        <rFont val="Times New Roman"/>
        <family val="1"/>
        <charset val="204"/>
      </rPr>
      <t>системи ангіографічної</t>
    </r>
  </si>
  <si>
    <r>
      <rPr>
        <b/>
        <sz val="10"/>
        <color rgb="FF00B050"/>
        <rFont val="Times New Roman"/>
        <family val="1"/>
        <charset val="204"/>
      </rPr>
      <t>теплолічильник</t>
    </r>
    <r>
      <rPr>
        <b/>
        <sz val="10"/>
        <color theme="1"/>
        <rFont val="Times New Roman"/>
        <family val="1"/>
        <charset val="204"/>
      </rPr>
      <t>, придбання вузла обліку теплової енергії</t>
    </r>
  </si>
  <si>
    <r>
      <rPr>
        <b/>
        <sz val="12"/>
        <color rgb="FFFF0000"/>
        <rFont val="Times New Roman"/>
        <family val="1"/>
        <charset val="204"/>
      </rPr>
      <t>ПП "Кремінбуд"</t>
    </r>
    <r>
      <rPr>
        <sz val="12"/>
        <color theme="1"/>
        <rFont val="Times New Roman"/>
        <family val="1"/>
        <charset val="204"/>
      </rPr>
      <t xml:space="preserve"> (казначейство р/р UA628201720344311008400099569) КПК 0712010 д.уг.№2 від 29.04.24</t>
    </r>
  </si>
  <si>
    <r>
      <t xml:space="preserve">авторський нагляд по обєкту: </t>
    </r>
    <r>
      <rPr>
        <b/>
        <sz val="10"/>
        <color rgb="FFFF0000"/>
        <rFont val="Times New Roman"/>
        <family val="1"/>
        <charset val="204"/>
      </rPr>
      <t xml:space="preserve">"Капітальний ремонт частини приміщень першого поверху будівлі основного корпусу будівлі </t>
    </r>
    <r>
      <rPr>
        <b/>
        <sz val="10"/>
        <color rgb="FF00B050"/>
        <rFont val="Times New Roman"/>
        <family val="1"/>
        <charset val="204"/>
      </rPr>
      <t>КНМП "Лікарня інтенсивного лікування "Кременчуцька"</t>
    </r>
    <r>
      <rPr>
        <b/>
        <sz val="10"/>
        <color rgb="FFFF0000"/>
        <rFont val="Times New Roman"/>
        <family val="1"/>
        <charset val="204"/>
      </rPr>
      <t xml:space="preserve"> для розміщення системи ангіографічної</t>
    </r>
    <r>
      <rPr>
        <b/>
        <sz val="10"/>
        <color theme="1"/>
        <rFont val="Times New Roman"/>
        <family val="1"/>
        <charset val="204"/>
      </rPr>
      <t xml:space="preserve"> за адресою: вул. Лікаря Парнети, 2 м. Кременчук" </t>
    </r>
  </si>
  <si>
    <r>
      <t xml:space="preserve">дефібрилятор-монітор, оснащення приміщень для розміщення </t>
    </r>
    <r>
      <rPr>
        <b/>
        <sz val="10"/>
        <color rgb="FFFF0000"/>
        <rFont val="Times New Roman"/>
        <family val="1"/>
        <charset val="204"/>
      </rPr>
      <t>системи ангіографічної</t>
    </r>
  </si>
  <si>
    <r>
      <t xml:space="preserve">насос шприцевий, оснащення приміщень для розміщення </t>
    </r>
    <r>
      <rPr>
        <b/>
        <sz val="10"/>
        <color rgb="FFFF0000"/>
        <rFont val="Times New Roman"/>
        <family val="1"/>
        <charset val="204"/>
      </rPr>
      <t>системи ангіографічної</t>
    </r>
  </si>
  <si>
    <r>
      <t xml:space="preserve">світильник операційний, оснащення приміщень для розміщення </t>
    </r>
    <r>
      <rPr>
        <b/>
        <sz val="10"/>
        <color rgb="FFFF0000"/>
        <rFont val="Times New Roman"/>
        <family val="1"/>
        <charset val="204"/>
      </rPr>
      <t>системи ангіографічної</t>
    </r>
  </si>
  <si>
    <r>
      <t xml:space="preserve">електрокардіограф, оснащення приміщень для розміщення </t>
    </r>
    <r>
      <rPr>
        <b/>
        <sz val="10"/>
        <color rgb="FFFF0000"/>
        <rFont val="Times New Roman"/>
        <family val="1"/>
        <charset val="204"/>
      </rPr>
      <t>системи ангіографічної</t>
    </r>
  </si>
  <si>
    <r>
      <rPr>
        <b/>
        <sz val="10"/>
        <color rgb="FF00B050"/>
        <rFont val="Times New Roman"/>
        <family val="1"/>
        <charset val="204"/>
      </rPr>
      <t>нижня велика та мала плати процесора</t>
    </r>
    <r>
      <rPr>
        <b/>
        <sz val="10"/>
        <color theme="1"/>
        <rFont val="Times New Roman"/>
        <family val="1"/>
        <charset val="204"/>
      </rPr>
      <t xml:space="preserve"> для ремонту </t>
    </r>
    <r>
      <rPr>
        <b/>
        <sz val="10"/>
        <color rgb="FFFF0000"/>
        <rFont val="Times New Roman"/>
        <family val="1"/>
        <charset val="204"/>
      </rPr>
      <t>системи рентгенівської діагностичної IMAX</t>
    </r>
  </si>
  <si>
    <r>
      <rPr>
        <b/>
        <sz val="10"/>
        <color rgb="FF00B050"/>
        <rFont val="Times New Roman"/>
        <family val="1"/>
        <charset val="204"/>
      </rPr>
      <t>рентгенівська трубка</t>
    </r>
    <r>
      <rPr>
        <b/>
        <sz val="10"/>
        <color theme="1"/>
        <rFont val="Times New Roman"/>
        <family val="1"/>
        <charset val="204"/>
      </rPr>
      <t xml:space="preserve"> для ремонту </t>
    </r>
    <r>
      <rPr>
        <b/>
        <sz val="10"/>
        <color rgb="FFFF0000"/>
        <rFont val="Times New Roman"/>
        <family val="1"/>
        <charset val="204"/>
      </rPr>
      <t>системи рентгенівської діагностичної IMAX</t>
    </r>
  </si>
  <si>
    <r>
      <rPr>
        <b/>
        <sz val="10"/>
        <color rgb="FF00B050"/>
        <rFont val="Times New Roman"/>
        <family val="1"/>
        <charset val="204"/>
      </rPr>
      <t>однокамерний тимчасовий кардіостимулятор</t>
    </r>
    <r>
      <rPr>
        <b/>
        <sz val="10"/>
        <color theme="1"/>
        <rFont val="Times New Roman"/>
        <family val="1"/>
        <charset val="204"/>
      </rPr>
      <t xml:space="preserve">, оснащення приміщень для розміщення </t>
    </r>
    <r>
      <rPr>
        <b/>
        <sz val="10"/>
        <color rgb="FFFF0000"/>
        <rFont val="Times New Roman"/>
        <family val="1"/>
        <charset val="204"/>
      </rPr>
      <t>системи ангіографічної</t>
    </r>
  </si>
  <si>
    <r>
      <rPr>
        <b/>
        <sz val="10"/>
        <color rgb="FF00B050"/>
        <rFont val="Times New Roman"/>
        <family val="1"/>
        <charset val="204"/>
      </rPr>
      <t>плечова підтримка, рентген захист, халат рентгенозахисний</t>
    </r>
    <r>
      <rPr>
        <b/>
        <sz val="10"/>
        <color theme="1"/>
        <rFont val="Times New Roman"/>
        <family val="1"/>
        <charset val="204"/>
      </rPr>
      <t xml:space="preserve">, оснащення приміщень для розміщення </t>
    </r>
    <r>
      <rPr>
        <b/>
        <sz val="10"/>
        <color rgb="FFFF0000"/>
        <rFont val="Times New Roman"/>
        <family val="1"/>
        <charset val="204"/>
      </rPr>
      <t>системи ангіографічної</t>
    </r>
  </si>
  <si>
    <t xml:space="preserve">ТОВ "Екоекспертиза" </t>
  </si>
  <si>
    <r>
      <t xml:space="preserve">роботи з захоронення будівельного сміття по об'єкту </t>
    </r>
    <r>
      <rPr>
        <b/>
        <sz val="10"/>
        <color rgb="FFFF0000"/>
        <rFont val="Times New Roman"/>
        <family val="1"/>
        <charset val="204"/>
      </rPr>
      <t>капітальний ремонт приміщень травматологічного відділення будівлі КНМП "Лікарня інтенсивного лікування "Кременчуцька"</t>
    </r>
    <r>
      <rPr>
        <b/>
        <sz val="10"/>
        <color theme="1"/>
        <rFont val="Times New Roman"/>
        <family val="1"/>
        <charset val="204"/>
      </rPr>
      <t xml:space="preserve"> за адресою: вул. Лікаря Парнети, 2 м. Кременчук</t>
    </r>
  </si>
  <si>
    <r>
      <t xml:space="preserve">авторський нагляд за об'єктом будівництва - </t>
    </r>
    <r>
      <rPr>
        <b/>
        <sz val="10"/>
        <color rgb="FFFF0000"/>
        <rFont val="Times New Roman"/>
        <family val="1"/>
        <charset val="204"/>
      </rPr>
      <t>капітальний ремонт приміщень травматологічного відділення будівлі КНМП "Лікарня інтенсивного лікування "Кременчуцька"</t>
    </r>
    <r>
      <rPr>
        <b/>
        <sz val="10"/>
        <color theme="1"/>
        <rFont val="Times New Roman"/>
        <family val="1"/>
        <charset val="204"/>
      </rPr>
      <t xml:space="preserve"> за адресою: вул. Лікаря Парнети, 2 м. Кременчук</t>
    </r>
  </si>
  <si>
    <r>
      <t xml:space="preserve">виготовлення проєктно-кошторисної документації по об'єкту: </t>
    </r>
    <r>
      <rPr>
        <b/>
        <sz val="10"/>
        <color rgb="FFFF0000"/>
        <rFont val="Times New Roman"/>
        <family val="1"/>
        <charset val="204"/>
      </rPr>
      <t xml:space="preserve">"Реконструкція внутрішніх мереж електропостачання для можливості підключення резервного джерела живлення будівлі </t>
    </r>
    <r>
      <rPr>
        <b/>
        <sz val="10"/>
        <color rgb="FF00B050"/>
        <rFont val="Times New Roman"/>
        <family val="1"/>
        <charset val="204"/>
      </rPr>
      <t>поліклініки Центру відновного лікування та реабілітації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КНМП "Лікарня інтенсивного лікування "Кременчуцька" за адресою: вул. Квітки Цісик, 1А м. Кременчук"</t>
    </r>
  </si>
  <si>
    <r>
      <t xml:space="preserve">виготовлення проєктно-кошторисної документації по об'єкту: </t>
    </r>
    <r>
      <rPr>
        <b/>
        <sz val="10"/>
        <color rgb="FFFF0000"/>
        <rFont val="Times New Roman"/>
        <family val="1"/>
        <charset val="204"/>
      </rPr>
      <t xml:space="preserve">"Реконструкція внутрішніх мереж електропостачання для можливості підключення резервного джерела живлення будівлі </t>
    </r>
    <r>
      <rPr>
        <b/>
        <sz val="10"/>
        <color rgb="FF00B050"/>
        <rFont val="Times New Roman"/>
        <family val="1"/>
        <charset val="204"/>
      </rPr>
      <t>водогрязелікарні Центру відновного лікування та реабілітації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КНМП "Лікарня інтенсивного лікування "Кременчуцька" за адресою: вул. Квітки Цісик, 1А м. Кременчук"</t>
    </r>
  </si>
  <si>
    <r>
      <t>розробка проектно-кошторисної документації по об'єкту</t>
    </r>
    <r>
      <rPr>
        <b/>
        <sz val="10"/>
        <rFont val="Times New Roman"/>
        <family val="1"/>
        <charset val="204"/>
      </rPr>
      <t>:</t>
    </r>
    <r>
      <rPr>
        <b/>
        <sz val="10"/>
        <color rgb="FFFF0000"/>
        <rFont val="Times New Roman"/>
        <family val="1"/>
        <charset val="204"/>
      </rPr>
      <t xml:space="preserve"> "Реконструкція частини приміщень першого поверху будівлі основного корпусу будівлі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0"/>
        <color rgb="FF00B050"/>
        <rFont val="Times New Roman"/>
        <family val="1"/>
        <charset val="204"/>
      </rPr>
      <t>КНМП "Лікарня інтенсивного лікування "Кременчуцька"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0"/>
        <color rgb="FFFF0000"/>
        <rFont val="Times New Roman"/>
        <family val="1"/>
        <charset val="204"/>
      </rPr>
      <t>для розміщення системи магнітно-резонансного томографа</t>
    </r>
    <r>
      <rPr>
        <b/>
        <sz val="10"/>
        <color theme="1"/>
        <rFont val="Times New Roman"/>
        <family val="1"/>
        <charset val="204"/>
      </rPr>
      <t xml:space="preserve"> за адресою: вул. Лікаря Парнети, 2 м. Кременчук</t>
    </r>
  </si>
  <si>
    <r>
      <t xml:space="preserve">роботи з реконструкції </t>
    </r>
    <r>
      <rPr>
        <b/>
        <sz val="10"/>
        <color rgb="FFFF0000"/>
        <rFont val="Times New Roman"/>
        <family val="1"/>
        <charset val="204"/>
      </rPr>
      <t>"Реконструкція внутрішніх мереж електропостачання для можливості підключення резервного джерела живлення</t>
    </r>
    <r>
      <rPr>
        <b/>
        <sz val="10"/>
        <color rgb="FF00B050"/>
        <rFont val="Times New Roman"/>
        <family val="1"/>
        <charset val="204"/>
      </rPr>
      <t xml:space="preserve"> будівлі поліклініки Центру відновного лікування та реабілітації КНМП "Лікарня інтенсивного лікування "Кременчуцька"</t>
    </r>
    <r>
      <rPr>
        <b/>
        <sz val="10"/>
        <color theme="1"/>
        <rFont val="Times New Roman"/>
        <family val="1"/>
        <charset val="204"/>
      </rPr>
      <t xml:space="preserve"> за адресою: вул. Квітки Цісик, 1А м. Кременчук"</t>
    </r>
  </si>
  <si>
    <r>
      <t xml:space="preserve">роботи з реконструкції </t>
    </r>
    <r>
      <rPr>
        <b/>
        <sz val="10"/>
        <color rgb="FFFF0000"/>
        <rFont val="Times New Roman"/>
        <family val="1"/>
        <charset val="204"/>
      </rPr>
      <t>"Реконструкція внутрішніх мереж електропостачання для можливості підключення резервного джерела живлення</t>
    </r>
    <r>
      <rPr>
        <b/>
        <sz val="10"/>
        <color rgb="FF00B050"/>
        <rFont val="Times New Roman"/>
        <family val="1"/>
        <charset val="204"/>
      </rPr>
      <t xml:space="preserve"> будівлі водогрязелікарні Центру відновного лікування та реабілітації КНМП "Лікарня інтенсивного лікування "Кременчуцька"</t>
    </r>
    <r>
      <rPr>
        <b/>
        <sz val="10"/>
        <color theme="1"/>
        <rFont val="Times New Roman"/>
        <family val="1"/>
        <charset val="204"/>
      </rPr>
      <t xml:space="preserve"> за адресою: вул. Квітки Цісик, 1А м. Кременчук"</t>
    </r>
  </si>
  <si>
    <r>
      <t xml:space="preserve">технічний нагляд за проведенням будівельних робіт на об'єкті: </t>
    </r>
    <r>
      <rPr>
        <b/>
        <sz val="10"/>
        <color rgb="FFFF0000"/>
        <rFont val="Times New Roman"/>
        <family val="1"/>
        <charset val="204"/>
      </rPr>
      <t>"Реконструкція внутрішніх мереж електропостачання для можливості підключення резервного джерела живлення</t>
    </r>
    <r>
      <rPr>
        <b/>
        <sz val="10"/>
        <color rgb="FF00B050"/>
        <rFont val="Times New Roman"/>
        <family val="1"/>
        <charset val="204"/>
      </rPr>
      <t xml:space="preserve"> будівлі поліклініки Центру відновного лікування та реабілітації КНМП "Лікарня інтенсивного лікування "Кременчуцька"</t>
    </r>
    <r>
      <rPr>
        <b/>
        <sz val="10"/>
        <color theme="1"/>
        <rFont val="Times New Roman"/>
        <family val="1"/>
        <charset val="204"/>
      </rPr>
      <t xml:space="preserve"> за адресою: вул. Квітки Цісик, 1А м. Кременчук"</t>
    </r>
  </si>
  <si>
    <r>
      <t xml:space="preserve">технічний нагляд за проведенням будівельних робіт на об'єкті: </t>
    </r>
    <r>
      <rPr>
        <b/>
        <sz val="10"/>
        <color rgb="FFFF0000"/>
        <rFont val="Times New Roman"/>
        <family val="1"/>
        <charset val="204"/>
      </rPr>
      <t xml:space="preserve">"Реконструкція внутрішніх мереж електропостачання для можливості підключення резервного джерела живлення будівлі </t>
    </r>
    <r>
      <rPr>
        <b/>
        <sz val="10"/>
        <color rgb="FF00B050"/>
        <rFont val="Times New Roman"/>
        <family val="1"/>
        <charset val="204"/>
      </rPr>
      <t>водогрязелікарні Центру відновного лікування та реабілітації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КНМП "Лікарня інтенсивного лікування "Кременчуцька" за адресою: вул. Квітки Цісик, 1А м. Кременчук"</t>
    </r>
  </si>
  <si>
    <r>
      <t xml:space="preserve">авторський нагляд за дотриманням проектних рішень по об'єкту: </t>
    </r>
    <r>
      <rPr>
        <b/>
        <sz val="10"/>
        <color rgb="FFFF0000"/>
        <rFont val="Times New Roman"/>
        <family val="1"/>
        <charset val="204"/>
      </rPr>
      <t>"Реконструкція внутрішніх мереж електропостачання для можливості підключення резервного джерела живлення</t>
    </r>
    <r>
      <rPr>
        <b/>
        <sz val="10"/>
        <color rgb="FF00B050"/>
        <rFont val="Times New Roman"/>
        <family val="1"/>
        <charset val="204"/>
      </rPr>
      <t xml:space="preserve"> будівлі поліклініки Центру відновного лікування та реабілітації КНМП "Лікарня інтенсивного лікування "Кременчуцька"</t>
    </r>
    <r>
      <rPr>
        <b/>
        <sz val="10"/>
        <color theme="1"/>
        <rFont val="Times New Roman"/>
        <family val="1"/>
        <charset val="204"/>
      </rPr>
      <t xml:space="preserve"> за адресою: вул. Квітки Цісик, 1А м. Кременчук"</t>
    </r>
  </si>
  <si>
    <r>
      <t>авторський нагляд за дотриманням проектних рішень по об'єкту: "</t>
    </r>
    <r>
      <rPr>
        <b/>
        <sz val="10"/>
        <color rgb="FFFF0000"/>
        <rFont val="Times New Roman"/>
        <family val="1"/>
        <charset val="204"/>
      </rPr>
      <t xml:space="preserve">Реконструкція внутрішніх мереж електропостачання для можливості підключення резервного джерела живлення будівлі </t>
    </r>
    <r>
      <rPr>
        <b/>
        <sz val="10"/>
        <color rgb="FF00B050"/>
        <rFont val="Times New Roman"/>
        <family val="1"/>
        <charset val="204"/>
      </rPr>
      <t>водогрязелікарні Центру відновного лікування та реабілітації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КНМП "Лікарня інтенсивного лікування "Кременчуцька" за адресою: вул. Квітки Цісик, 1А м. Кременчук"</t>
    </r>
  </si>
  <si>
    <r>
      <t>приєднання електроустановок до електричних мереж системи розподілу (</t>
    </r>
    <r>
      <rPr>
        <b/>
        <sz val="10"/>
        <color rgb="FF00B050"/>
        <rFont val="Times New Roman"/>
        <family val="1"/>
        <charset val="204"/>
      </rPr>
      <t>нестандартне приєднання</t>
    </r>
    <r>
      <rPr>
        <b/>
        <sz val="10"/>
        <color theme="1"/>
        <rFont val="Times New Roman"/>
        <family val="1"/>
        <charset val="204"/>
      </rPr>
      <t xml:space="preserve"> до електричних мереж системи розподілу)</t>
    </r>
  </si>
  <si>
    <r>
      <t xml:space="preserve">проектні роботи по об'єкту: </t>
    </r>
    <r>
      <rPr>
        <b/>
        <sz val="10"/>
        <color rgb="FFFF0000"/>
        <rFont val="Times New Roman"/>
        <family val="1"/>
        <charset val="204"/>
      </rPr>
      <t xml:space="preserve">"Реконструкція внутрішніх мереж електропостачання для можливості підключення резервного джерела живлення будівлі </t>
    </r>
    <r>
      <rPr>
        <b/>
        <sz val="10"/>
        <color rgb="FF00B050"/>
        <rFont val="Times New Roman"/>
        <family val="1"/>
        <charset val="204"/>
      </rPr>
      <t>стаціонару Центру відновного лікування та реабілітації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КНМП "Лікарня інтенсивного лікування "Кременчуцька" за адресою: вул. Квітки Цісик, 1А м. Кременчук"</t>
    </r>
  </si>
  <si>
    <r>
      <t xml:space="preserve">проектні роботи по об'єкту: </t>
    </r>
    <r>
      <rPr>
        <b/>
        <sz val="10"/>
        <color rgb="FFFF0000"/>
        <rFont val="Times New Roman"/>
        <family val="1"/>
        <charset val="204"/>
      </rPr>
      <t xml:space="preserve">"Реконструкція внутрішніх мереж електропостачання для можливості підключення резервного джерела живлення будівлі </t>
    </r>
    <r>
      <rPr>
        <b/>
        <sz val="10"/>
        <color rgb="FF00B050"/>
        <rFont val="Times New Roman"/>
        <family val="1"/>
        <charset val="204"/>
      </rPr>
      <t>інфекційного корпусу для розміщення адміністрації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 xml:space="preserve">КНМП "Лікарня інтенсивного лікування "Кременчуцька" за адресою: вул. Лікаря Парнети, 16 м. Кременчук" </t>
    </r>
  </si>
  <si>
    <r>
      <rPr>
        <b/>
        <sz val="10"/>
        <color rgb="FF00B050"/>
        <rFont val="Times New Roman"/>
        <family val="1"/>
        <charset val="204"/>
      </rPr>
      <t>проведення експертного обстеження покрівлі</t>
    </r>
    <r>
      <rPr>
        <b/>
        <sz val="10"/>
        <color theme="1"/>
        <rFont val="Times New Roman"/>
        <family val="1"/>
        <charset val="204"/>
      </rPr>
      <t xml:space="preserve"> для визначення можливості виконання реконструкції системи електропостачання КНМП "Лікарня інтенсивного лікування "Кременчуцька", </t>
    </r>
    <r>
      <rPr>
        <b/>
        <sz val="10"/>
        <color rgb="FFFF0000"/>
        <rFont val="Times New Roman"/>
        <family val="1"/>
        <charset val="204"/>
      </rPr>
      <t xml:space="preserve">з встановленням дахової СЕС для власних потреб </t>
    </r>
    <r>
      <rPr>
        <b/>
        <sz val="10"/>
        <rFont val="Times New Roman"/>
        <family val="1"/>
        <charset val="204"/>
      </rPr>
      <t>за адресою вул. Лікаря Парнети, 2</t>
    </r>
  </si>
  <si>
    <r>
      <t xml:space="preserve">виготовлення проектно-кошторисної документації та проходження її експертизи по об'єкту: </t>
    </r>
    <r>
      <rPr>
        <b/>
        <sz val="10"/>
        <color rgb="FFFF0000"/>
        <rFont val="Times New Roman"/>
        <family val="1"/>
        <charset val="204"/>
      </rPr>
      <t>"Реконструкція приміщень для створення кардіохірургічної служби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0"/>
        <color rgb="FF00B050"/>
        <rFont val="Times New Roman"/>
        <family val="1"/>
        <charset val="204"/>
      </rPr>
      <t>КНМП "Лікарня інтенсивного лікування "Кременчуцька"</t>
    </r>
    <r>
      <rPr>
        <b/>
        <sz val="10"/>
        <color theme="1"/>
        <rFont val="Times New Roman"/>
        <family val="1"/>
        <charset val="204"/>
      </rPr>
      <t xml:space="preserve"> за адресою: вул. Лікаря Парнети, 2 м. Кременчук"</t>
    </r>
  </si>
  <si>
    <r>
      <rPr>
        <b/>
        <sz val="10"/>
        <color rgb="FF00B050"/>
        <rFont val="Times New Roman"/>
        <family val="1"/>
        <charset val="204"/>
      </rPr>
      <t xml:space="preserve">проведення експертизи проектної документації на будівництво реконструкція частини приміщень першого поверху будівлі основного корпусу будівлі </t>
    </r>
    <r>
      <rPr>
        <b/>
        <sz val="10"/>
        <color theme="1"/>
        <rFont val="Times New Roman"/>
        <family val="1"/>
        <charset val="204"/>
      </rPr>
      <t xml:space="preserve">КНМП "Лікарня інтенсивного лікування "Кременчуцька", для розміщення магнітно-резонансного томографа </t>
    </r>
    <r>
      <rPr>
        <b/>
        <sz val="10"/>
        <rFont val="Times New Roman"/>
        <family val="1"/>
        <charset val="204"/>
      </rPr>
      <t>за адресою вул. Лікаря Парнети, 2</t>
    </r>
  </si>
  <si>
    <r>
      <t xml:space="preserve">роботи з </t>
    </r>
    <r>
      <rPr>
        <b/>
        <sz val="10"/>
        <color rgb="FFFF0000"/>
        <rFont val="Times New Roman"/>
        <family val="1"/>
        <charset val="204"/>
      </rPr>
      <t xml:space="preserve">реконструкції внутрішніх мереж електропостачання для можливості підключення резервного джерела живлення будівлі </t>
    </r>
    <r>
      <rPr>
        <b/>
        <sz val="10"/>
        <color rgb="FF00B050"/>
        <rFont val="Times New Roman"/>
        <family val="1"/>
        <charset val="204"/>
      </rPr>
      <t>інфекційного корпусу для розміщення адміністрації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 xml:space="preserve">КНМП "Лікарня інтенсивного лікування "Кременчуцька" за адресою: вул. Лікаря Парнети, 16 м. Кременчук" </t>
    </r>
  </si>
  <si>
    <r>
      <t xml:space="preserve">роботи з </t>
    </r>
    <r>
      <rPr>
        <b/>
        <sz val="10"/>
        <color rgb="FFFF0000"/>
        <rFont val="Times New Roman"/>
        <family val="1"/>
        <charset val="204"/>
      </rPr>
      <t xml:space="preserve">реконструкції внутрішніх мереж електропостачання для можливості підключення резервного джерела живлення будівлі </t>
    </r>
    <r>
      <rPr>
        <b/>
        <sz val="10"/>
        <color rgb="FF00B050"/>
        <rFont val="Times New Roman"/>
        <family val="1"/>
        <charset val="204"/>
      </rPr>
      <t>стаціонару Центру відновного лікування та реабілітації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 xml:space="preserve">КНМП "Лікарня інтенсивного лікування "Кременчуцька" за адресою: вул. Квітки Цісик, 1А м. Кременчук" </t>
    </r>
  </si>
  <si>
    <r>
      <rPr>
        <b/>
        <sz val="10"/>
        <rFont val="Times New Roman"/>
        <family val="1"/>
        <charset val="204"/>
      </rPr>
      <t>проведення експертизи проектної документації на будівництво в кошторисній частині об'єкта будівництва  за робочим проектом: "</t>
    </r>
    <r>
      <rPr>
        <b/>
        <sz val="10"/>
        <color rgb="FFFF0000"/>
        <rFont val="Times New Roman"/>
        <family val="1"/>
        <charset val="204"/>
      </rPr>
      <t>Капітальний ремонт частини приміщень першого поверху будівлі основного корпусу будівлі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0"/>
        <color rgb="FF00B050"/>
        <rFont val="Times New Roman"/>
        <family val="1"/>
        <charset val="204"/>
      </rPr>
      <t>КНМП "Лікарня інтенсивного лікування "Кременчуцька"</t>
    </r>
    <r>
      <rPr>
        <b/>
        <sz val="10"/>
        <color rgb="FFFF0000"/>
        <rFont val="Times New Roman"/>
        <family val="1"/>
        <charset val="204"/>
      </rPr>
      <t xml:space="preserve"> для розміщення системи ангіографічної </t>
    </r>
    <r>
      <rPr>
        <b/>
        <sz val="10"/>
        <rFont val="Times New Roman"/>
        <family val="1"/>
        <charset val="204"/>
      </rPr>
      <t>за адресою: вул. Лікаря Парнети, 2 м. Кременчук"</t>
    </r>
    <r>
      <rPr>
        <b/>
        <sz val="10"/>
        <color theme="1"/>
        <rFont val="Times New Roman"/>
        <family val="1"/>
        <charset val="204"/>
      </rPr>
      <t xml:space="preserve"> (коригування)</t>
    </r>
  </si>
  <si>
    <r>
      <t xml:space="preserve">авторський нагляд по об'єкту </t>
    </r>
    <r>
      <rPr>
        <b/>
        <sz val="10"/>
        <color rgb="FFFF0000"/>
        <rFont val="Times New Roman"/>
        <family val="1"/>
        <charset val="204"/>
      </rPr>
      <t xml:space="preserve">реконструкції внутрішніх мереж електропостачання для можливості підключення резервного джерела живлення будівлі </t>
    </r>
    <r>
      <rPr>
        <b/>
        <sz val="10"/>
        <color rgb="FF00B050"/>
        <rFont val="Times New Roman"/>
        <family val="1"/>
        <charset val="204"/>
      </rPr>
      <t>стаціонару Центру відновного лікування та реабілітації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 xml:space="preserve">КНМП "Лікарня інтенсивного лікування "Кременчуцька" за адресою: вул. Квітки Цісик, 1А м. Кременчук" </t>
    </r>
  </si>
  <si>
    <r>
      <t xml:space="preserve">авторський нагляд по об'єкту </t>
    </r>
    <r>
      <rPr>
        <b/>
        <sz val="10"/>
        <color rgb="FFFF0000"/>
        <rFont val="Times New Roman"/>
        <family val="1"/>
        <charset val="204"/>
      </rPr>
      <t xml:space="preserve">реконструкція внутрішніх мереж електропостачання для можливості підключення резервного джерела живлення будівлі </t>
    </r>
    <r>
      <rPr>
        <b/>
        <sz val="10"/>
        <color rgb="FF00B050"/>
        <rFont val="Times New Roman"/>
        <family val="1"/>
        <charset val="204"/>
      </rPr>
      <t>інфекційного корпусу для розміщення адміністрації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 xml:space="preserve">КНМП "Лікарня інтенсивного лікування "Кременчуцька" за адресою: вул. Лікаря Парнети, 16 м. Кременчук" </t>
    </r>
  </si>
  <si>
    <r>
      <t xml:space="preserve">технічний нагляд за проведенням будівельних робіт на об'єкті </t>
    </r>
    <r>
      <rPr>
        <b/>
        <sz val="10"/>
        <color rgb="FFFF0000"/>
        <rFont val="Times New Roman"/>
        <family val="1"/>
        <charset val="204"/>
      </rPr>
      <t xml:space="preserve">реконструкції внутрішніх мереж електропостачання для можливості підключення резервного джерела живлення будівлі </t>
    </r>
    <r>
      <rPr>
        <b/>
        <sz val="10"/>
        <color rgb="FF00B050"/>
        <rFont val="Times New Roman"/>
        <family val="1"/>
        <charset val="204"/>
      </rPr>
      <t>стаціонару Центру відновного лікування та реабілітації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 xml:space="preserve">КНМП "Лікарня інтенсивного лікування "Кременчуцька" за адресою: вул. Квітки Цісик, 1А м. Кременчук" </t>
    </r>
  </si>
  <si>
    <r>
      <t xml:space="preserve">технічний нагляд за проведенням будівельних робіт на об'єкті </t>
    </r>
    <r>
      <rPr>
        <b/>
        <sz val="10"/>
        <color rgb="FFFF0000"/>
        <rFont val="Times New Roman"/>
        <family val="1"/>
        <charset val="204"/>
      </rPr>
      <t xml:space="preserve">реконструкція внутрішніх мереж електропостачання для можливості підключення резервного джерела живлення будівлі </t>
    </r>
    <r>
      <rPr>
        <b/>
        <sz val="10"/>
        <color rgb="FF00B050"/>
        <rFont val="Times New Roman"/>
        <family val="1"/>
        <charset val="204"/>
      </rPr>
      <t>інфекційного корпусу для розміщення адміністрації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 xml:space="preserve">КНМП "Лікарня інтенсивного лікування "Кременчуцька" за адресою: вул. Лікаря Парнети, 16 м. Кременчук" </t>
    </r>
  </si>
  <si>
    <r>
      <t xml:space="preserve">роботи по об'єкту </t>
    </r>
    <r>
      <rPr>
        <b/>
        <sz val="10"/>
        <color rgb="FFFF0000"/>
        <rFont val="Times New Roman"/>
        <family val="1"/>
        <charset val="204"/>
      </rPr>
      <t>реконструкція частини приміщень першого поверху будівлі основного корпусу будівлі КНМП "Лікарня інтенсивного лікування "Кременчуцька"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0"/>
        <color rgb="FF00B050"/>
        <rFont val="Times New Roman"/>
        <family val="1"/>
        <charset val="204"/>
      </rPr>
      <t>для розміщення системи магнітно-резонансного томографа</t>
    </r>
    <r>
      <rPr>
        <b/>
        <sz val="10"/>
        <color theme="1"/>
        <rFont val="Times New Roman"/>
        <family val="1"/>
        <charset val="204"/>
      </rPr>
      <t xml:space="preserve"> за адресою: вул. Лікаря Парнети, 2 м. Кременчук</t>
    </r>
  </si>
  <si>
    <r>
      <rPr>
        <b/>
        <sz val="12"/>
        <color rgb="FFFF0000"/>
        <rFont val="Times New Roman"/>
        <family val="1"/>
        <charset val="204"/>
      </rPr>
      <t>ТОВ "Єврострой Стандарт"</t>
    </r>
    <r>
      <rPr>
        <sz val="12"/>
        <color theme="1"/>
        <rFont val="Times New Roman"/>
        <family val="1"/>
        <charset val="204"/>
      </rPr>
      <t xml:space="preserve"> (казначейство р/р UA628201720344311008400099569) КПК 0712010 ТЗ UA-2022-07-26-005126-а від 11.08.2022 д.уг.№12 від02.07.24</t>
    </r>
  </si>
  <si>
    <r>
      <t xml:space="preserve">капітальний ремонт </t>
    </r>
    <r>
      <rPr>
        <b/>
        <sz val="10"/>
        <color rgb="FFFF0000"/>
        <rFont val="Times New Roman"/>
        <family val="1"/>
        <charset val="204"/>
      </rPr>
      <t>приміщень травматологічного відділення КНМП "Лікарня інтенсивного лікування "Кременчуцька"</t>
    </r>
    <r>
      <rPr>
        <b/>
        <sz val="10"/>
        <color theme="1"/>
        <rFont val="Times New Roman"/>
        <family val="1"/>
        <charset val="204"/>
      </rPr>
      <t xml:space="preserve"> за адресою: вул. Лікаря Парнети, 2 м. Кременчук </t>
    </r>
  </si>
  <si>
    <r>
      <t>технічний нагляд за об'єктом</t>
    </r>
    <r>
      <rPr>
        <b/>
        <sz val="10"/>
        <color rgb="FFFF0000"/>
        <rFont val="Times New Roman"/>
        <family val="1"/>
        <charset val="204"/>
      </rPr>
      <t>: "Реконструкція частини приміщень першого поверху будівлі основного корпусу будівлі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0"/>
        <color rgb="FF00B050"/>
        <rFont val="Times New Roman"/>
        <family val="1"/>
        <charset val="204"/>
      </rPr>
      <t>КНМП "Лікарня інтенсивного лікування "Кременчуцька"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0"/>
        <color rgb="FFFF0000"/>
        <rFont val="Times New Roman"/>
        <family val="1"/>
        <charset val="204"/>
      </rPr>
      <t>для розміщення системи магнітно-резонансного томографа</t>
    </r>
    <r>
      <rPr>
        <b/>
        <sz val="10"/>
        <color theme="1"/>
        <rFont val="Times New Roman"/>
        <family val="1"/>
        <charset val="204"/>
      </rPr>
      <t xml:space="preserve"> за адресою: вул. Лікаря Парнети, 2 м. Кременчук</t>
    </r>
  </si>
  <si>
    <r>
      <t>запчастини для ремонту комп'ютерного томографа (модуль керування швидкості руху обертання гентрі в</t>
    </r>
    <r>
      <rPr>
        <b/>
        <sz val="10"/>
        <color rgb="FFFF0000"/>
        <rFont val="Times New Roman"/>
        <family val="1"/>
        <charset val="204"/>
      </rPr>
      <t xml:space="preserve"> КТ</t>
    </r>
    <r>
      <rPr>
        <b/>
        <sz val="10"/>
        <color theme="1"/>
        <rFont val="Times New Roman"/>
        <family val="1"/>
        <charset val="204"/>
      </rPr>
      <t>)</t>
    </r>
  </si>
  <si>
    <r>
      <rPr>
        <b/>
        <sz val="10"/>
        <color rgb="FFFF0000"/>
        <rFont val="Times New Roman"/>
        <family val="1"/>
        <charset val="204"/>
      </rPr>
      <t>авторський нагляд</t>
    </r>
    <r>
      <rPr>
        <b/>
        <sz val="10"/>
        <color rgb="FF00B050"/>
        <rFont val="Times New Roman"/>
        <family val="1"/>
        <charset val="204"/>
      </rPr>
      <t xml:space="preserve"> за об'єктом "Реконструкція частини приміщень першого поверху будівлі основного корпусу будівлі </t>
    </r>
    <r>
      <rPr>
        <b/>
        <sz val="10"/>
        <color theme="1"/>
        <rFont val="Times New Roman"/>
        <family val="1"/>
        <charset val="204"/>
      </rPr>
      <t xml:space="preserve">КНМП "Лікарня інтенсивного лікування "Кременчуцька" </t>
    </r>
    <r>
      <rPr>
        <b/>
        <sz val="10"/>
        <color rgb="FFFF0000"/>
        <rFont val="Times New Roman"/>
        <family val="1"/>
        <charset val="204"/>
      </rPr>
      <t>для розміщення системи магнітно-резонансного томографа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за адресою вул. Лікаря Парнети, 2</t>
    </r>
  </si>
  <si>
    <r>
      <t>запчастини для ремонту комп'ютерного томографа (частотний контролер обертання гентрі в</t>
    </r>
    <r>
      <rPr>
        <b/>
        <sz val="10"/>
        <color rgb="FFFF0000"/>
        <rFont val="Times New Roman"/>
        <family val="1"/>
        <charset val="204"/>
      </rPr>
      <t xml:space="preserve"> КТ</t>
    </r>
    <r>
      <rPr>
        <b/>
        <sz val="10"/>
        <color theme="1"/>
        <rFont val="Times New Roman"/>
        <family val="1"/>
        <charset val="204"/>
      </rPr>
      <t>)</t>
    </r>
  </si>
  <si>
    <r>
      <rPr>
        <b/>
        <sz val="12"/>
        <color rgb="FFFF0000"/>
        <rFont val="Times New Roman"/>
        <family val="1"/>
        <charset val="204"/>
      </rPr>
      <t>ФОП Бакай Г.С.</t>
    </r>
    <r>
      <rPr>
        <sz val="12"/>
        <color theme="1"/>
        <rFont val="Times New Roman"/>
        <family val="1"/>
        <charset val="204"/>
      </rPr>
      <t xml:space="preserve"> 2210 - 80200,00 3210 - 44000,00 сума договору 124200,00 (казначейство р/р UA628201720344311008400099569) КПК 0712010 ТЗ UA-2024-04-16-006930-а від 06.05.2024</t>
    </r>
  </si>
  <si>
    <r>
      <rPr>
        <b/>
        <sz val="12"/>
        <color rgb="FFFF0000"/>
        <rFont val="Times New Roman"/>
        <family val="1"/>
        <charset val="204"/>
      </rPr>
      <t xml:space="preserve">ФОП Грицай В.М. </t>
    </r>
    <r>
      <rPr>
        <sz val="12"/>
        <rFont val="Times New Roman"/>
        <family val="1"/>
        <charset val="204"/>
      </rPr>
      <t>2210 - 14620,00 3210 - 110000,00 сума договору 124620,00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(казначейство р/р UA628201720344311008400099569) КПК 0712010 ТЗ UA-2024-04-22-009493-а від 08.05.2024 </t>
    </r>
  </si>
  <si>
    <r>
      <rPr>
        <b/>
        <sz val="12"/>
        <color rgb="FFFF0000"/>
        <rFont val="Times New Roman"/>
        <family val="1"/>
        <charset val="204"/>
      </rPr>
      <t xml:space="preserve">ФОП Моісєєнко А.С. </t>
    </r>
    <r>
      <rPr>
        <sz val="12"/>
        <rFont val="Times New Roman"/>
        <family val="1"/>
        <charset val="204"/>
      </rPr>
      <t xml:space="preserve">2210 - 9930,00 3210 - 74320,00 сума договору 84250,00 </t>
    </r>
    <r>
      <rPr>
        <sz val="12"/>
        <color theme="1"/>
        <rFont val="Times New Roman"/>
        <family val="1"/>
        <charset val="204"/>
      </rPr>
      <t xml:space="preserve">(казначейство р/р UA628201720344311008400099569) КПК 0712010 ТЗ UA-2024-04-19-005161-а від 09.05.2024 </t>
    </r>
  </si>
  <si>
    <r>
      <rPr>
        <b/>
        <sz val="12"/>
        <color rgb="FFFF0000"/>
        <rFont val="Times New Roman"/>
        <family val="1"/>
        <charset val="204"/>
      </rPr>
      <t xml:space="preserve">ТОВ "СІНЕКС" </t>
    </r>
    <r>
      <rPr>
        <sz val="12"/>
        <rFont val="Times New Roman"/>
        <family val="1"/>
        <charset val="204"/>
      </rPr>
      <t>2210 - 19206,00 3210 - 51988,00 сума договору 71194,00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(казначейство р/р UA628201720344311008400099569) КПК 0712010 ТЗ UA-2024-04-22-008226-а від 10.05.2024</t>
    </r>
  </si>
  <si>
    <t>13/24Г</t>
  </si>
  <si>
    <r>
      <rPr>
        <b/>
        <sz val="10"/>
        <color rgb="FFFF0000"/>
        <rFont val="Times New Roman"/>
        <family val="1"/>
        <charset val="204"/>
      </rPr>
      <t>капітальний ремонт укосів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0"/>
        <color rgb="FF00B050"/>
        <rFont val="Times New Roman"/>
        <family val="1"/>
        <charset val="204"/>
      </rPr>
      <t>(підготовка об'єкта до опалювального періоду та заходи з енергозбереження) дитячої поліклініки</t>
    </r>
    <r>
      <rPr>
        <b/>
        <sz val="10"/>
        <color theme="1"/>
        <rFont val="Times New Roman"/>
        <family val="1"/>
        <charset val="204"/>
      </rPr>
      <t xml:space="preserve"> КНМП "КМДЛ" за адресою вул. Лікар Парнети, 16 </t>
    </r>
  </si>
  <si>
    <r>
      <rPr>
        <b/>
        <sz val="12"/>
        <color rgb="FFFF0000"/>
        <rFont val="Times New Roman"/>
        <family val="1"/>
        <charset val="204"/>
      </rPr>
      <t>ТОВ "Ремонтно-будівельна фірма "Креміньбуд"</t>
    </r>
    <r>
      <rPr>
        <sz val="12"/>
        <color theme="1"/>
        <rFont val="Times New Roman"/>
        <family val="1"/>
        <charset val="204"/>
      </rPr>
      <t xml:space="preserve"> сума договору 830367,74 с/ф дитяча 131815,93 с/ф ЛІЛ 698551,81 (казначейство р/р UA628201720344311008400099569) КПК 0712010 д.уг.№2 від 20.06.2024</t>
    </r>
  </si>
  <si>
    <t xml:space="preserve">поточний ремонт із заміни дверних блоків на металопластикові (підготовка об'єкту до опалювального періоду та заходи з енергозбереження) дитячої поліклініки </t>
  </si>
  <si>
    <t>514</t>
  </si>
  <si>
    <t>тонометр</t>
  </si>
  <si>
    <t>593</t>
  </si>
  <si>
    <r>
      <rPr>
        <b/>
        <sz val="12"/>
        <color rgb="FFFF0000"/>
        <rFont val="Times New Roman"/>
        <family val="1"/>
        <charset val="204"/>
      </rPr>
      <t>КВП "Кременчуцьке міське управління капітального будівництва"</t>
    </r>
    <r>
      <rPr>
        <sz val="12"/>
        <color theme="1"/>
        <rFont val="Times New Roman"/>
        <family val="1"/>
        <charset val="204"/>
      </rPr>
      <t xml:space="preserve"> (казначейство р/р UA628201720344311008400099569) КПК 0712010 д.уг.№2 від 26.07.24</t>
    </r>
  </si>
  <si>
    <r>
      <t xml:space="preserve">технічний нагляд за об'єктом будівництва - </t>
    </r>
    <r>
      <rPr>
        <b/>
        <sz val="10"/>
        <color rgb="FFFF0000"/>
        <rFont val="Times New Roman"/>
        <family val="1"/>
        <charset val="204"/>
      </rPr>
      <t xml:space="preserve">капітальний ремонт </t>
    </r>
    <r>
      <rPr>
        <b/>
        <sz val="10"/>
        <color rgb="FF00B050"/>
        <rFont val="Times New Roman"/>
        <family val="1"/>
        <charset val="204"/>
      </rPr>
      <t>приміщень травматологічного відділення</t>
    </r>
    <r>
      <rPr>
        <b/>
        <sz val="10"/>
        <color rgb="FFFF0000"/>
        <rFont val="Times New Roman"/>
        <family val="1"/>
        <charset val="204"/>
      </rPr>
      <t xml:space="preserve"> будівлі КНМП "Лікарня інтенсивного лікування "Кременчуцька"</t>
    </r>
    <r>
      <rPr>
        <b/>
        <sz val="10"/>
        <color theme="1"/>
        <rFont val="Times New Roman"/>
        <family val="1"/>
        <charset val="204"/>
      </rPr>
      <t xml:space="preserve"> за адресою: вул. Лікаря Парнети, 2 м. Кременчук</t>
    </r>
  </si>
  <si>
    <t>490</t>
  </si>
  <si>
    <r>
      <rPr>
        <b/>
        <sz val="12"/>
        <color rgb="FFFF0000"/>
        <rFont val="Times New Roman"/>
        <family val="1"/>
        <charset val="204"/>
      </rPr>
      <t>ТОВ "Кременергобуд"</t>
    </r>
    <r>
      <rPr>
        <sz val="12"/>
        <color theme="1"/>
        <rFont val="Times New Roman"/>
        <family val="1"/>
        <charset val="204"/>
      </rPr>
      <t xml:space="preserve"> (казначейство р/р UA628201720344311008400099569) КПК 0712010 д.уг.№1 від 29.07.24</t>
    </r>
  </si>
  <si>
    <r>
      <t xml:space="preserve">капітальний </t>
    </r>
    <r>
      <rPr>
        <b/>
        <sz val="10"/>
        <rFont val="Times New Roman"/>
        <family val="1"/>
        <charset val="204"/>
      </rPr>
      <t>ремонт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color rgb="FF00B050"/>
        <rFont val="Times New Roman"/>
        <family val="1"/>
        <charset val="204"/>
      </rPr>
      <t>контурів заземлення</t>
    </r>
    <r>
      <rPr>
        <b/>
        <sz val="10"/>
        <color rgb="FFFF0000"/>
        <rFont val="Times New Roman"/>
        <family val="1"/>
        <charset val="204"/>
      </rPr>
      <t xml:space="preserve"> будівлі основного корпусу КНМП "Лікарня інтенсивного лікування "Кременчуцька"</t>
    </r>
    <r>
      <rPr>
        <b/>
        <sz val="10"/>
        <color theme="1"/>
        <rFont val="Times New Roman"/>
        <family val="1"/>
        <charset val="204"/>
      </rPr>
      <t xml:space="preserve"> за адресою: вул. Лікаря Парнети, 2 м. Кременчук</t>
    </r>
  </si>
  <si>
    <t>бланки облікової документації</t>
  </si>
  <si>
    <t>ГКФ-145</t>
  </si>
  <si>
    <t>ПП "Галактика"</t>
  </si>
  <si>
    <t>мінеральна вода моршинська</t>
  </si>
  <si>
    <t>поточний ремонт ліфтів (дитяча)</t>
  </si>
  <si>
    <t>474</t>
  </si>
  <si>
    <r>
      <rPr>
        <b/>
        <sz val="12"/>
        <color rgb="FFFF0000"/>
        <rFont val="Times New Roman"/>
        <family val="1"/>
        <charset val="204"/>
      </rPr>
      <t>ТОВ "Юнім Про"</t>
    </r>
    <r>
      <rPr>
        <sz val="12"/>
        <color theme="1"/>
        <rFont val="Times New Roman"/>
        <family val="1"/>
        <charset val="204"/>
      </rPr>
      <t xml:space="preserve"> (казначейство р/р UA628201720344311008400099569) КПК 0712010 д.уг.№1 від 01.08.24</t>
    </r>
  </si>
  <si>
    <r>
      <t>виготовлення проєктно-кошторисної документації по об'єкту</t>
    </r>
    <r>
      <rPr>
        <b/>
        <sz val="10"/>
        <color rgb="FFFF0000"/>
        <rFont val="Times New Roman"/>
        <family val="1"/>
        <charset val="204"/>
      </rPr>
      <t xml:space="preserve"> капітальний ремонт </t>
    </r>
    <r>
      <rPr>
        <b/>
        <sz val="10"/>
        <color rgb="FF00B050"/>
        <rFont val="Times New Roman"/>
        <family val="1"/>
        <charset val="204"/>
      </rPr>
      <t>контурів заземлення</t>
    </r>
    <r>
      <rPr>
        <b/>
        <sz val="10"/>
        <color rgb="FFFF0000"/>
        <rFont val="Times New Roman"/>
        <family val="1"/>
        <charset val="204"/>
      </rPr>
      <t xml:space="preserve"> будівлі основного корпусу КНМП "Лікарня інтенсивного лікування "Кременчуцька"</t>
    </r>
    <r>
      <rPr>
        <b/>
        <sz val="10"/>
        <color theme="1"/>
        <rFont val="Times New Roman"/>
        <family val="1"/>
        <charset val="204"/>
      </rPr>
      <t xml:space="preserve"> за адресою: вул. Лікаря Парнети, 2 м. Кременчук</t>
    </r>
  </si>
  <si>
    <t>516</t>
  </si>
  <si>
    <r>
      <rPr>
        <b/>
        <sz val="12"/>
        <color rgb="FFFF0000"/>
        <rFont val="Times New Roman"/>
        <family val="1"/>
        <charset val="204"/>
      </rPr>
      <t>ТОВ "Юнім Про"</t>
    </r>
    <r>
      <rPr>
        <sz val="12"/>
        <color theme="1"/>
        <rFont val="Times New Roman"/>
        <family val="1"/>
        <charset val="204"/>
      </rPr>
      <t xml:space="preserve"> (казначейство р/р UA628201720344311008400099569) КПК 0712010</t>
    </r>
  </si>
  <si>
    <r>
      <t>авторський нагляд по об'єкту</t>
    </r>
    <r>
      <rPr>
        <b/>
        <sz val="10"/>
        <color rgb="FFFF0000"/>
        <rFont val="Times New Roman"/>
        <family val="1"/>
        <charset val="204"/>
      </rPr>
      <t xml:space="preserve"> капітальний ремонт </t>
    </r>
    <r>
      <rPr>
        <b/>
        <sz val="10"/>
        <color rgb="FF00B050"/>
        <rFont val="Times New Roman"/>
        <family val="1"/>
        <charset val="204"/>
      </rPr>
      <t>контурів заземлення</t>
    </r>
    <r>
      <rPr>
        <b/>
        <sz val="10"/>
        <color rgb="FFFF0000"/>
        <rFont val="Times New Roman"/>
        <family val="1"/>
        <charset val="204"/>
      </rPr>
      <t xml:space="preserve"> будівлі основного корпусу КНМП "Лікарня інтенсивного лікування "Кременчуцька"</t>
    </r>
    <r>
      <rPr>
        <b/>
        <sz val="10"/>
        <color theme="1"/>
        <rFont val="Times New Roman"/>
        <family val="1"/>
        <charset val="204"/>
      </rPr>
      <t xml:space="preserve"> за адресою: вул. Лікаря Парнети, 2 м. Кременчук</t>
    </r>
  </si>
  <si>
    <t>518</t>
  </si>
  <si>
    <t>845774</t>
  </si>
  <si>
    <t>один рік</t>
  </si>
  <si>
    <t>ТОВ "Хостінг Україна"</t>
  </si>
  <si>
    <t>послуги хостингу; реєстрація домену</t>
  </si>
  <si>
    <t>39/2024</t>
  </si>
  <si>
    <r>
      <rPr>
        <b/>
        <sz val="12"/>
        <color rgb="FFFF0000"/>
        <rFont val="Times New Roman"/>
        <family val="1"/>
        <charset val="204"/>
      </rPr>
      <t>ФОП Воловик О.М.</t>
    </r>
    <r>
      <rPr>
        <sz val="12"/>
        <color theme="1"/>
        <rFont val="Times New Roman"/>
        <family val="1"/>
        <charset val="204"/>
      </rPr>
      <t xml:space="preserve"> (казначейство р/р UA628201720344311008400099569) КПК 0712010 </t>
    </r>
  </si>
  <si>
    <r>
      <t>технічний нагляд за проведенням будівельних робіт на об'єкті</t>
    </r>
    <r>
      <rPr>
        <b/>
        <sz val="10"/>
        <color rgb="FFFF0000"/>
        <rFont val="Times New Roman"/>
        <family val="1"/>
        <charset val="204"/>
      </rPr>
      <t xml:space="preserve"> капітальний ремонт </t>
    </r>
    <r>
      <rPr>
        <b/>
        <sz val="10"/>
        <color rgb="FF00B050"/>
        <rFont val="Times New Roman"/>
        <family val="1"/>
        <charset val="204"/>
      </rPr>
      <t>контурів заземлення</t>
    </r>
    <r>
      <rPr>
        <b/>
        <sz val="10"/>
        <color rgb="FFFF0000"/>
        <rFont val="Times New Roman"/>
        <family val="1"/>
        <charset val="204"/>
      </rPr>
      <t xml:space="preserve"> будівель КНМП "Лікарня інтенсивного лікування "Кременчуцька"</t>
    </r>
    <r>
      <rPr>
        <b/>
        <sz val="10"/>
        <color theme="1"/>
        <rFont val="Times New Roman"/>
        <family val="1"/>
        <charset val="204"/>
      </rPr>
      <t xml:space="preserve"> за адресою: вул. Лікаря Парнети, 2 м. Кременчук</t>
    </r>
  </si>
  <si>
    <t>519</t>
  </si>
  <si>
    <t>522</t>
  </si>
  <si>
    <t>523</t>
  </si>
  <si>
    <t>528</t>
  </si>
  <si>
    <r>
      <rPr>
        <b/>
        <sz val="12"/>
        <color rgb="FFFF0000"/>
        <rFont val="Times New Roman"/>
        <family val="1"/>
        <charset val="204"/>
      </rPr>
      <t>ПП "Кремінбуд"</t>
    </r>
    <r>
      <rPr>
        <sz val="12"/>
        <color theme="1"/>
        <rFont val="Times New Roman"/>
        <family val="1"/>
        <charset val="204"/>
      </rPr>
      <t xml:space="preserve"> (казначейство р/р UA628201720344311008400099569) КПК 0712010 </t>
    </r>
  </si>
  <si>
    <r>
      <t>роботи з капітального ремонту по об'єкту</t>
    </r>
    <r>
      <rPr>
        <b/>
        <sz val="10"/>
        <rFont val="Times New Roman"/>
        <family val="1"/>
        <charset val="204"/>
      </rPr>
      <t>:</t>
    </r>
    <r>
      <rPr>
        <b/>
        <sz val="10"/>
        <color rgb="FFFF0000"/>
        <rFont val="Times New Roman"/>
        <family val="1"/>
        <charset val="204"/>
      </rPr>
      <t xml:space="preserve"> "Капітальний ремонт частини приміщень першого поверху будівлі основного корпусу будівлі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0"/>
        <color rgb="FF00B050"/>
        <rFont val="Times New Roman"/>
        <family val="1"/>
        <charset val="204"/>
      </rPr>
      <t>КНМП "Лікарня інтенсивного лікування "Кременчуцька"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0"/>
        <color rgb="FFFF0000"/>
        <rFont val="Times New Roman"/>
        <family val="1"/>
        <charset val="204"/>
      </rPr>
      <t>для розміщення системи ангіографічної</t>
    </r>
    <r>
      <rPr>
        <b/>
        <sz val="10"/>
        <color theme="1"/>
        <rFont val="Times New Roman"/>
        <family val="1"/>
        <charset val="204"/>
      </rPr>
      <t xml:space="preserve"> за адресою: вул. Лікаря Парнети, 2 м. Кременчук (Коригування)</t>
    </r>
  </si>
  <si>
    <t>475</t>
  </si>
  <si>
    <t>ФОП Заболотна О.Л. ТЗ UA-2024-07-04-006576-а від 10.07.2024</t>
  </si>
  <si>
    <t>голка для встановлення підключичного катетера</t>
  </si>
  <si>
    <t>529</t>
  </si>
  <si>
    <t>531</t>
  </si>
  <si>
    <r>
      <t>авторський нагляд по об'єкту</t>
    </r>
    <r>
      <rPr>
        <b/>
        <sz val="10"/>
        <rFont val="Times New Roman"/>
        <family val="1"/>
        <charset val="204"/>
      </rPr>
      <t>:</t>
    </r>
    <r>
      <rPr>
        <b/>
        <sz val="10"/>
        <color rgb="FFFF0000"/>
        <rFont val="Times New Roman"/>
        <family val="1"/>
        <charset val="204"/>
      </rPr>
      <t xml:space="preserve"> "Капітальний ремонт частини приміщень першого поверху будівлі основного корпусу будівлі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0"/>
        <color rgb="FF00B050"/>
        <rFont val="Times New Roman"/>
        <family val="1"/>
        <charset val="204"/>
      </rPr>
      <t>КНМП "Лікарня інтенсивного лікування "Кременчуцька"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0"/>
        <color rgb="FFFF0000"/>
        <rFont val="Times New Roman"/>
        <family val="1"/>
        <charset val="204"/>
      </rPr>
      <t>для розміщення системи ангіографічної</t>
    </r>
    <r>
      <rPr>
        <b/>
        <sz val="10"/>
        <color theme="1"/>
        <rFont val="Times New Roman"/>
        <family val="1"/>
        <charset val="204"/>
      </rPr>
      <t xml:space="preserve"> за адресою: вул. Лікаря Парнети, 2 м. Кременчук (Коригування)</t>
    </r>
  </si>
  <si>
    <t>532</t>
  </si>
  <si>
    <t>ТОВ "Центр економічної освіти"</t>
  </si>
  <si>
    <t>консультаційні послуги з питань навчання</t>
  </si>
  <si>
    <t>533</t>
  </si>
  <si>
    <r>
      <rPr>
        <b/>
        <sz val="12"/>
        <color rgb="FFFF0000"/>
        <rFont val="Times New Roman"/>
        <family val="1"/>
        <charset val="204"/>
      </rPr>
      <t>КВП "Кременчуцьке міське управління капітального будівництва"</t>
    </r>
    <r>
      <rPr>
        <sz val="12"/>
        <color theme="1"/>
        <rFont val="Times New Roman"/>
        <family val="1"/>
        <charset val="204"/>
      </rPr>
      <t xml:space="preserve"> (казначейство р/р UA628201720344311008400099569) КПК 0712010 </t>
    </r>
  </si>
  <si>
    <r>
      <t>технічний нагляд по об'єкту</t>
    </r>
    <r>
      <rPr>
        <b/>
        <sz val="10"/>
        <rFont val="Times New Roman"/>
        <family val="1"/>
        <charset val="204"/>
      </rPr>
      <t>:</t>
    </r>
    <r>
      <rPr>
        <b/>
        <sz val="10"/>
        <color rgb="FFFF0000"/>
        <rFont val="Times New Roman"/>
        <family val="1"/>
        <charset val="204"/>
      </rPr>
      <t xml:space="preserve"> "Капітальний ремонт частини приміщень першого поверху будівлі основного корпусу будівлі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0"/>
        <color rgb="FF00B050"/>
        <rFont val="Times New Roman"/>
        <family val="1"/>
        <charset val="204"/>
      </rPr>
      <t>КНМП "Лікарня інтенсивного лікування "Кременчуцька"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0"/>
        <color rgb="FFFF0000"/>
        <rFont val="Times New Roman"/>
        <family val="1"/>
        <charset val="204"/>
      </rPr>
      <t>для розміщення системи ангіографічної</t>
    </r>
    <r>
      <rPr>
        <b/>
        <sz val="10"/>
        <color theme="1"/>
        <rFont val="Times New Roman"/>
        <family val="1"/>
        <charset val="204"/>
      </rPr>
      <t xml:space="preserve"> за адресою: вул. Лікаря Парнети, 2 м. Кременчук (Коригування)</t>
    </r>
  </si>
  <si>
    <t>4115</t>
  </si>
  <si>
    <t>опломбування приладу обліку теплової енергії</t>
  </si>
  <si>
    <r>
      <t>розроблення проектно-кошторисної документації по об'єкту</t>
    </r>
    <r>
      <rPr>
        <b/>
        <sz val="10"/>
        <rFont val="Times New Roman"/>
        <family val="1"/>
        <charset val="204"/>
      </rPr>
      <t>:</t>
    </r>
    <r>
      <rPr>
        <b/>
        <sz val="10"/>
        <color rgb="FFFF0000"/>
        <rFont val="Times New Roman"/>
        <family val="1"/>
        <charset val="204"/>
      </rPr>
      <t xml:space="preserve"> "Капітальний ремонт санітарно-гігієнічного приміщення на I поверсі будівлі КДЦ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0"/>
        <color rgb="FF00B050"/>
        <rFont val="Times New Roman"/>
        <family val="1"/>
        <charset val="204"/>
      </rPr>
      <t>КНМП "Лікарня інтенсивного лікування "Кременчуцька"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0"/>
        <color rgb="FFFF0000"/>
        <rFont val="Times New Roman"/>
        <family val="1"/>
        <charset val="204"/>
      </rPr>
      <t>з влаштуванням засобів безперешкодного доступу осіб з інвалідністю та інших маломобільних груп населення</t>
    </r>
    <r>
      <rPr>
        <b/>
        <sz val="10"/>
        <color theme="1"/>
        <rFont val="Times New Roman"/>
        <family val="1"/>
        <charset val="204"/>
      </rPr>
      <t xml:space="preserve"> за адресою: просп. Л. Українки, 80</t>
    </r>
  </si>
  <si>
    <r>
      <t xml:space="preserve">технічний нагляд за проведенням будівельних робіт на об'єкті: </t>
    </r>
    <r>
      <rPr>
        <b/>
        <sz val="10"/>
        <color rgb="FFFF0000"/>
        <rFont val="Times New Roman"/>
        <family val="1"/>
        <charset val="204"/>
      </rPr>
      <t xml:space="preserve">"Капітальний ремонт частини приміщень першого поверху будівлі основного корпусу будівлі </t>
    </r>
    <r>
      <rPr>
        <b/>
        <sz val="10"/>
        <color rgb="FF00B050"/>
        <rFont val="Times New Roman"/>
        <family val="1"/>
        <charset val="204"/>
      </rPr>
      <t>КНМП "Лікарня інтенсивного лікування "Кременчуцька"</t>
    </r>
    <r>
      <rPr>
        <b/>
        <sz val="10"/>
        <color rgb="FFFF0000"/>
        <rFont val="Times New Roman"/>
        <family val="1"/>
        <charset val="204"/>
      </rPr>
      <t xml:space="preserve"> для розміщення системи ангіографічної</t>
    </r>
    <r>
      <rPr>
        <b/>
        <sz val="10"/>
        <color theme="1"/>
        <rFont val="Times New Roman"/>
        <family val="1"/>
        <charset val="204"/>
      </rPr>
      <t xml:space="preserve"> за адресою: вул. Лікаря Парнети, 2 м. Кременчук" д.уг. №3 в. 20.08.24</t>
    </r>
  </si>
  <si>
    <r>
      <rPr>
        <b/>
        <sz val="12"/>
        <color rgb="FFFF0000"/>
        <rFont val="Times New Roman"/>
        <family val="1"/>
        <charset val="204"/>
      </rPr>
      <t>ПП "Кремінбуд"</t>
    </r>
    <r>
      <rPr>
        <sz val="12"/>
        <color theme="1"/>
        <rFont val="Times New Roman"/>
        <family val="1"/>
        <charset val="204"/>
      </rPr>
      <t xml:space="preserve"> (казначейство р/р </t>
    </r>
    <r>
      <rPr>
        <sz val="12"/>
        <rFont val="Times New Roman"/>
        <family val="1"/>
        <charset val="204"/>
      </rPr>
      <t>UA628201720344311008400099569</t>
    </r>
    <r>
      <rPr>
        <sz val="12"/>
        <color theme="1"/>
        <rFont val="Times New Roman"/>
        <family val="1"/>
        <charset val="204"/>
      </rPr>
      <t xml:space="preserve">) КПК </t>
    </r>
    <r>
      <rPr>
        <sz val="12"/>
        <rFont val="Times New Roman"/>
        <family val="1"/>
        <charset val="204"/>
      </rPr>
      <t xml:space="preserve">0712010 </t>
    </r>
    <r>
      <rPr>
        <sz val="12"/>
        <color theme="1"/>
        <rFont val="Times New Roman"/>
        <family val="1"/>
        <charset val="204"/>
      </rPr>
      <t>ТЗ UA-2023-07-25-007514-а від 11.08.2023 д.уг.№7 в.16.08.24</t>
    </r>
  </si>
  <si>
    <t>487</t>
  </si>
  <si>
    <t>фармасулин</t>
  </si>
  <si>
    <t>537</t>
  </si>
  <si>
    <t>036/011/411133</t>
  </si>
  <si>
    <t>особисте страхування медичних і фармацевтичних працівників на випадок інфікування вірусом імунодефіциту людини</t>
  </si>
  <si>
    <t>527</t>
  </si>
  <si>
    <t>ПП "Світ Жалюзі"</t>
  </si>
  <si>
    <t>ремонт воріт секційних</t>
  </si>
  <si>
    <t>539</t>
  </si>
  <si>
    <t>ТОВ "Аквафемелі"</t>
  </si>
  <si>
    <t>дезінфенційні засоби для басейну</t>
  </si>
  <si>
    <t>КП "Кременчуцьке підрядне спеціалізоване шляхове ремонтно-будівельне управління" (КП КПС ШРБУ)</t>
  </si>
  <si>
    <t>прочищення зливної каналізації педіатричного центру "Дитяча лікарня"</t>
  </si>
  <si>
    <t>422</t>
  </si>
  <si>
    <t>тканьова ролета навісна, жалюзі вертикальні</t>
  </si>
  <si>
    <t>103</t>
  </si>
  <si>
    <t>ФОП Шехтман О.М.</t>
  </si>
  <si>
    <t>послуги диспетчера таксі</t>
  </si>
  <si>
    <t>179</t>
  </si>
  <si>
    <t>ФОП Зінченко Р.В.</t>
  </si>
  <si>
    <t>сервісне обслуговування систем фільтрації води</t>
  </si>
  <si>
    <t>6552П</t>
  </si>
  <si>
    <t>ФОП Жураковська Н.О.</t>
  </si>
  <si>
    <t>консультаційні послуги з питань навчання на тематичному удосконаленні "Стаціонарна, амбулаторна та мобільна паліативна допомога важко хворим пацієнтам"</t>
  </si>
  <si>
    <t>624534</t>
  </si>
  <si>
    <t>розпломбування вузла обліку, заміна трифазного лічильника, позачергова технічна перевірка засобу обліку</t>
  </si>
  <si>
    <t>545</t>
  </si>
  <si>
    <t>Р.62-2024</t>
  </si>
  <si>
    <r>
      <rPr>
        <b/>
        <sz val="12"/>
        <color rgb="FFFF0000"/>
        <rFont val="Times New Roman"/>
        <family val="1"/>
        <charset val="204"/>
      </rPr>
      <t>ТОВ "МІС Проект"</t>
    </r>
    <r>
      <rPr>
        <sz val="12"/>
        <color theme="1"/>
        <rFont val="Times New Roman"/>
        <family val="1"/>
        <charset val="204"/>
      </rPr>
      <t xml:space="preserve"> (казначейство р/р UA608201720344351013400099569) КПК 0717322</t>
    </r>
  </si>
  <si>
    <r>
      <t>виготовлення проектно-кошторисної документації по об'єкту</t>
    </r>
    <r>
      <rPr>
        <b/>
        <sz val="10"/>
        <rFont val="Times New Roman"/>
        <family val="1"/>
        <charset val="204"/>
      </rPr>
      <t>:</t>
    </r>
    <r>
      <rPr>
        <b/>
        <sz val="10"/>
        <color rgb="FFFF0000"/>
        <rFont val="Times New Roman"/>
        <family val="1"/>
        <charset val="204"/>
      </rPr>
      <t xml:space="preserve"> "Реконструкція ганку основного входу до будівлі головного корпусу педіатричного центру - "Дитяча лікарня"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0"/>
        <color rgb="FF00B050"/>
        <rFont val="Times New Roman"/>
        <family val="1"/>
        <charset val="204"/>
      </rPr>
      <t>КНМП "Лікарня інтенсивного лікування "Кременчуцька"</t>
    </r>
    <r>
      <rPr>
        <b/>
        <sz val="10"/>
        <color theme="1"/>
        <rFont val="Times New Roman"/>
        <family val="1"/>
        <charset val="204"/>
      </rPr>
      <t xml:space="preserve"> за адресою: просп. Лікаря Парнети, 16</t>
    </r>
  </si>
  <si>
    <t>493</t>
  </si>
  <si>
    <t xml:space="preserve">ТОВ "Торговельна компанія "ЮЛіС" UA-2024-07-03-006160-a від 15.07.2024 </t>
  </si>
  <si>
    <t>429</t>
  </si>
  <si>
    <t>одноступеневий ультра тест на сифіліс</t>
  </si>
  <si>
    <t>ФОП Толстика В.І. ТЗ UA-2024-06-04-008018-а від 11.06.2024</t>
  </si>
  <si>
    <t>525</t>
  </si>
  <si>
    <t>ТОВ "Лабаналіт-Сервіс"</t>
  </si>
  <si>
    <t>лампа до напівавтоматичного біохімічного аналізатору</t>
  </si>
  <si>
    <t>628023</t>
  </si>
  <si>
    <t>лічильник</t>
  </si>
  <si>
    <t>02.09.24</t>
  </si>
  <si>
    <t>551</t>
  </si>
  <si>
    <t>ФОП Заболотна О.В.</t>
  </si>
  <si>
    <t>стрічка діаграмна</t>
  </si>
  <si>
    <t>550</t>
  </si>
  <si>
    <t>спиця Кіршнера</t>
  </si>
  <si>
    <t>553</t>
  </si>
  <si>
    <r>
      <t xml:space="preserve">проектні роботи по об'єкту: </t>
    </r>
    <r>
      <rPr>
        <b/>
        <sz val="10"/>
        <color rgb="FFFF0000"/>
        <rFont val="Times New Roman"/>
        <family val="1"/>
        <charset val="204"/>
      </rPr>
      <t xml:space="preserve">"Реконструкція внутрішніх мереж електропостачання для можливості підключення резервного джерела живлення </t>
    </r>
    <r>
      <rPr>
        <b/>
        <sz val="10"/>
        <color rgb="FF00B050"/>
        <rFont val="Times New Roman"/>
        <family val="1"/>
        <charset val="204"/>
      </rPr>
      <t>консультативно-діагностичного центру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КНМП "Лікарня інтенсивного лікування "Кременчуцька" за адресою: вул. Київська, 14 м. Кременчук"</t>
    </r>
  </si>
  <si>
    <t>174/24</t>
  </si>
  <si>
    <t>03.09.24</t>
  </si>
  <si>
    <t>ТОВ "Т.В.К. Груп"</t>
  </si>
  <si>
    <t>хвої екстракт, медея,парафін</t>
  </si>
  <si>
    <t xml:space="preserve">ТОВ "Ремонтно-будівельна фірма "Креміньбуд" д.уг.№3 від 04.09.24 </t>
  </si>
  <si>
    <t>28.08.24</t>
  </si>
  <si>
    <t>120</t>
  </si>
  <si>
    <t>постачання пакетів оновлення "M.E.Doc" модуль "Облік ПДВ" з правом використання на рік</t>
  </si>
  <si>
    <t>561</t>
  </si>
  <si>
    <t>06.09.24</t>
  </si>
  <si>
    <t>ФОП Осташко Ю.К.</t>
  </si>
  <si>
    <t>грязь мулова сульфідна лікувальна затоки Сиваш</t>
  </si>
  <si>
    <t>237/09</t>
  </si>
  <si>
    <t>спеціальне навчання з питань охорони праці для електротехнічного персоналу на право виконання робіт в діючих електроустановках</t>
  </si>
  <si>
    <t>табличка кабінетна</t>
  </si>
  <si>
    <t>391</t>
  </si>
  <si>
    <t>21.05.24</t>
  </si>
  <si>
    <t>ФОП Рябуха К.М. ТЗ UA-2024-05-13-003912-а від 21.05.2024</t>
  </si>
  <si>
    <t>діагностичні тест-смужки</t>
  </si>
  <si>
    <t>318</t>
  </si>
  <si>
    <t>ТОВ "Діалог Діагностікс"</t>
  </si>
  <si>
    <t>ремонт і технічне обслуговування персональних комп'ютерів</t>
  </si>
  <si>
    <t>модернізація персональних комп'ютерів</t>
  </si>
  <si>
    <r>
      <t xml:space="preserve">АТ "ПОЛТАВАОБЛЕНЕРГО" </t>
    </r>
    <r>
      <rPr>
        <b/>
        <sz val="10"/>
        <color theme="1"/>
        <rFont val="Times New Roman"/>
        <family val="1"/>
        <charset val="204"/>
      </rPr>
      <t>д.уг.№3 в.13.09.24</t>
    </r>
  </si>
  <si>
    <r>
      <t xml:space="preserve">ТОВ "Дніпровські енергетичні послуги" ТЗ UA-2023-12-14-014656-a від 22.12.2023 </t>
    </r>
    <r>
      <rPr>
        <sz val="10"/>
        <color rgb="FFFF0000"/>
        <rFont val="Times New Roman"/>
        <family val="1"/>
        <charset val="204"/>
      </rPr>
      <t>д.уг.№10 в.16.09.24</t>
    </r>
  </si>
  <si>
    <t>171</t>
  </si>
  <si>
    <t>01.03.24</t>
  </si>
  <si>
    <t>ТОВ "Маркетпром"</t>
  </si>
  <si>
    <t>тести, тест-смужки</t>
  </si>
  <si>
    <t>09.09.24</t>
  </si>
  <si>
    <t>змішувачі, шланги</t>
  </si>
  <si>
    <t>246</t>
  </si>
  <si>
    <t>АТ "Фармак" ТЗ UA-2024-03-20-009832-а від 28.03.2024</t>
  </si>
  <si>
    <t>444</t>
  </si>
  <si>
    <t>20.06.24</t>
  </si>
  <si>
    <t>ТОВ "ДЕЗОДАР" ТЗ UA-2024-05-29-002834-а від 20.06.2024</t>
  </si>
  <si>
    <t>155</t>
  </si>
  <si>
    <t>ТОВ "ДЕЗОДАР"</t>
  </si>
  <si>
    <t>177</t>
  </si>
  <si>
    <t>ФОП Вдовенкова Г.О. ТЗ UA-2024-02-26-002865-а від 04.03.2024</t>
  </si>
  <si>
    <t>440</t>
  </si>
  <si>
    <t>19.06.24</t>
  </si>
  <si>
    <t>220</t>
  </si>
  <si>
    <t>ВІЛ швидкі тести</t>
  </si>
  <si>
    <t>428</t>
  </si>
  <si>
    <t>монтажні та пусконалагоджувальні роботи локальної мережі</t>
  </si>
  <si>
    <t>427</t>
  </si>
  <si>
    <t>заміна маршрутизатора, накопичувача, комутатора</t>
  </si>
  <si>
    <t>226</t>
  </si>
  <si>
    <t>ТОВ "Окіра"</t>
  </si>
  <si>
    <t>26.06.24</t>
  </si>
  <si>
    <t>ФОП Заєць О.В. ТЗ UA-2024-03-14-001569-а від 21.03.2024</t>
  </si>
  <si>
    <t>ТОВ "ЕКСДІА ПЛЮС" ТЗ UA-2024-06-19-006922-а від 26.06.2024</t>
  </si>
  <si>
    <t>тести</t>
  </si>
  <si>
    <t>0509-12</t>
  </si>
  <si>
    <t>13.09.24</t>
  </si>
  <si>
    <t>ФОП Моруга О.П.</t>
  </si>
  <si>
    <t>контейнери біобокси</t>
  </si>
  <si>
    <t>199</t>
  </si>
  <si>
    <t>ТОВ "Далгакиран компресор Україна"</t>
  </si>
  <si>
    <t>виконання робіт ТО повітряного компресора</t>
  </si>
  <si>
    <t>фільтр сепараторний, масляний, повітряний, олива компресорна</t>
  </si>
  <si>
    <t>223</t>
  </si>
  <si>
    <t>ФОП Головчак І.Я.</t>
  </si>
  <si>
    <t>абсорбент вуглекислого газу</t>
  </si>
  <si>
    <t>446</t>
  </si>
  <si>
    <t>24.06.24</t>
  </si>
  <si>
    <t>ТОВ "Скіллворк"</t>
  </si>
  <si>
    <t>концентрований проявник та фіксаж</t>
  </si>
  <si>
    <t>2705-11</t>
  </si>
  <si>
    <t>контейнери біобокси, мішки для утилізації медичних відходів</t>
  </si>
  <si>
    <t>07.06.24</t>
  </si>
  <si>
    <t>кабель мереживий, роз'єм, гофра</t>
  </si>
  <si>
    <t>278</t>
  </si>
  <si>
    <t>ПП "Тендермед" ТЗ UA-2024-03-28-006210-а від 05.04.2024</t>
  </si>
  <si>
    <t>374</t>
  </si>
  <si>
    <t>ТОВ НВО "Каммед" ТЗ UA-2024-05-07-005948-а від 13.05.2024</t>
  </si>
  <si>
    <t>5344</t>
  </si>
  <si>
    <t>кисень газоподібний медичний</t>
  </si>
  <si>
    <t>транспортно-експедиційні послуги поставки газів в балонах - ходка</t>
  </si>
  <si>
    <t>18092024/2</t>
  </si>
  <si>
    <t>ФОП Васильєв Г.В.</t>
  </si>
  <si>
    <t>інформаційні послуги на вебінарі "Генератори, паливо та резервні джерела живлення"</t>
  </si>
  <si>
    <t>20.09.24</t>
  </si>
  <si>
    <t>жалюзі вертикальні</t>
  </si>
  <si>
    <t>перевезення тіл померлих</t>
  </si>
  <si>
    <t>19.09.24</t>
  </si>
  <si>
    <t>23.09.24</t>
  </si>
  <si>
    <t>24.05.24</t>
  </si>
  <si>
    <t>399</t>
  </si>
  <si>
    <t xml:space="preserve">ТОВ "Понтем.уа" Звіт про результати проведення закупівлі UA-2024-01-03-001984-a від 24.01.2024 д.уг.№1 від 23.08.24 </t>
  </si>
  <si>
    <t>585</t>
  </si>
  <si>
    <t>демонтаж, монтаж, чистка, дозування кондиціонера</t>
  </si>
  <si>
    <t>584</t>
  </si>
  <si>
    <t>технічне обслуговування кондиціонера</t>
  </si>
  <si>
    <t>129</t>
  </si>
  <si>
    <t>14.02.24</t>
  </si>
  <si>
    <t>ФОП Поліщук А.В.</t>
  </si>
  <si>
    <t>240912-04</t>
  </si>
  <si>
    <r>
      <t xml:space="preserve">ТОВ "Перша будівельна експертиза" </t>
    </r>
    <r>
      <rPr>
        <sz val="12"/>
        <rFont val="Times New Roman"/>
        <family val="1"/>
        <charset val="204"/>
      </rPr>
      <t>(казначейство р/р UA608201720344351013400099569) КПК 0717322</t>
    </r>
  </si>
  <si>
    <r>
      <t>експертиза кошторисної частини проектної документації по об'єкту</t>
    </r>
    <r>
      <rPr>
        <b/>
        <sz val="10"/>
        <rFont val="Times New Roman"/>
        <family val="1"/>
        <charset val="204"/>
      </rPr>
      <t>:</t>
    </r>
    <r>
      <rPr>
        <b/>
        <sz val="10"/>
        <color rgb="FFFF0000"/>
        <rFont val="Times New Roman"/>
        <family val="1"/>
        <charset val="204"/>
      </rPr>
      <t xml:space="preserve"> "Реконструкція ганку основного входу до будівлі головного корпусу педіатричного центру - "Дитяча лікарня"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0"/>
        <color rgb="FF00B050"/>
        <rFont val="Times New Roman"/>
        <family val="1"/>
        <charset val="204"/>
      </rPr>
      <t>КНМП "Лікарня інтенсивного лікування "Кременчуцька"</t>
    </r>
    <r>
      <rPr>
        <b/>
        <sz val="10"/>
        <color theme="1"/>
        <rFont val="Times New Roman"/>
        <family val="1"/>
        <charset val="204"/>
      </rPr>
      <t xml:space="preserve"> за адресою: просп. Лікаря Парнети, 16</t>
    </r>
  </si>
  <si>
    <t>590</t>
  </si>
  <si>
    <t>607</t>
  </si>
  <si>
    <r>
      <t xml:space="preserve">ТОВ "Ремонтно-будівельна фірма "Креміньбуд" </t>
    </r>
    <r>
      <rPr>
        <sz val="12"/>
        <rFont val="Times New Roman"/>
        <family val="1"/>
        <charset val="204"/>
      </rPr>
      <t xml:space="preserve">UA628201720344311008400099569) КПК 0712010 </t>
    </r>
  </si>
  <si>
    <r>
      <t>роботи з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капітального ремонту</t>
    </r>
    <r>
      <rPr>
        <b/>
        <sz val="10"/>
        <color rgb="FFFF0000"/>
        <rFont val="Times New Roman"/>
        <family val="1"/>
        <charset val="204"/>
      </rPr>
      <t xml:space="preserve"> санітарно-гігієнічного приміщення на I поверсі будівлі КДЦ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0"/>
        <color rgb="FF00B050"/>
        <rFont val="Times New Roman"/>
        <family val="1"/>
        <charset val="204"/>
      </rPr>
      <t>КНМП "Лікарня інтенсивного лікування "Кременчуцька"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0"/>
        <color rgb="FFFF0000"/>
        <rFont val="Times New Roman"/>
        <family val="1"/>
        <charset val="204"/>
      </rPr>
      <t>з влаштуванням засобів безперешкодного доступу осіб з інвалідністю та інших маломобільних груп населення</t>
    </r>
    <r>
      <rPr>
        <b/>
        <sz val="10"/>
        <color theme="1"/>
        <rFont val="Times New Roman"/>
        <family val="1"/>
        <charset val="204"/>
      </rPr>
      <t xml:space="preserve"> за адресою: просп. Л. Українки, 80</t>
    </r>
  </si>
  <si>
    <t>Р.61-2024</t>
  </si>
  <si>
    <r>
      <t>виготовлення проектно-кошторисної документації по об'єкту</t>
    </r>
    <r>
      <rPr>
        <b/>
        <sz val="10"/>
        <rFont val="Times New Roman"/>
        <family val="1"/>
        <charset val="204"/>
      </rPr>
      <t>:</t>
    </r>
    <r>
      <rPr>
        <b/>
        <sz val="10"/>
        <color rgb="FFFF0000"/>
        <rFont val="Times New Roman"/>
        <family val="1"/>
        <charset val="204"/>
      </rPr>
      <t xml:space="preserve"> "Реконструкція вхідної групи основного та запасного входу до будівлі консультативно-діагностичного центру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0"/>
        <color rgb="FF00B050"/>
        <rFont val="Times New Roman"/>
        <family val="1"/>
        <charset val="204"/>
      </rPr>
      <t>КНМП "Лікарня інтенсивного лікування "Кременчуцька"</t>
    </r>
    <r>
      <rPr>
        <b/>
        <sz val="10"/>
        <color theme="1"/>
        <rFont val="Times New Roman"/>
        <family val="1"/>
        <charset val="204"/>
      </rPr>
      <t xml:space="preserve"> за адресою: просп. Лесі Українки, 80</t>
    </r>
  </si>
  <si>
    <t>578</t>
  </si>
  <si>
    <t>ТОВ "Дезодар" ТЗ UA-2024-08-30-000746-а від 19.09.24</t>
  </si>
  <si>
    <t>дезінфенційні засоби</t>
  </si>
  <si>
    <t>ТОВ "РТЕ Юкрейн" д.уг. № 3 від 10.10.24 р., ТЗ UA-2024-08-16-003427-a від 23.08.2024</t>
  </si>
  <si>
    <t>241002-03</t>
  </si>
  <si>
    <t>31.12.31</t>
  </si>
  <si>
    <r>
      <t>роботи з експертизи кошторисної частини проектної документації по об'єкту</t>
    </r>
    <r>
      <rPr>
        <b/>
        <sz val="10"/>
        <rFont val="Times New Roman"/>
        <family val="1"/>
        <charset val="204"/>
      </rPr>
      <t>:</t>
    </r>
    <r>
      <rPr>
        <b/>
        <sz val="10"/>
        <color rgb="FFFF0000"/>
        <rFont val="Times New Roman"/>
        <family val="1"/>
        <charset val="204"/>
      </rPr>
      <t xml:space="preserve"> "Реконструкція вхідної групи основного та запасного входу до будівлі консультативно-діагностичного центру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0"/>
        <color rgb="FF00B050"/>
        <rFont val="Times New Roman"/>
        <family val="1"/>
        <charset val="204"/>
      </rPr>
      <t>КНМП "Лікарня інтенсивного лікування "Кременчуцька"</t>
    </r>
    <r>
      <rPr>
        <b/>
        <sz val="10"/>
        <color theme="1"/>
        <rFont val="Times New Roman"/>
        <family val="1"/>
        <charset val="204"/>
      </rPr>
      <t xml:space="preserve"> за адресою: просп. Лесі Українки, 80</t>
    </r>
  </si>
  <si>
    <t>15.10.24</t>
  </si>
  <si>
    <t>ФОП Яцик Р.М.</t>
  </si>
  <si>
    <t>581</t>
  </si>
  <si>
    <t>580</t>
  </si>
  <si>
    <t>журнали, дизайн</t>
  </si>
  <si>
    <t xml:space="preserve">Кременчуцький районний відокремлений підрозділ "Полтавський обласний центр контролю та профілактики хвороб Міністерства охорони здоров'я України" </t>
  </si>
  <si>
    <t>освітлення, мікроклімат, визначення свинцю</t>
  </si>
  <si>
    <t>279</t>
  </si>
  <si>
    <t>стоматологічні та вузькоспеціалізовані інструменти та прилади</t>
  </si>
  <si>
    <t>ФОП Заболотна О.Л. ТЗ UA-2024-03-13-006639-а від 05.04.24</t>
  </si>
  <si>
    <t>421/24</t>
  </si>
  <si>
    <t>організація участі в офлайн-заході "Програма медичних гарантій-2025"</t>
  </si>
  <si>
    <t>411163</t>
  </si>
  <si>
    <t>обов'язкове страхування цивільно-правової відповідальності власників наземних транспортних засобів за внутрішніми договорами "Автоцивілка"</t>
  </si>
  <si>
    <t>036/518/411164</t>
  </si>
  <si>
    <t>страхування водіїв</t>
  </si>
  <si>
    <t>169/24</t>
  </si>
  <si>
    <t>ТОВ "Оптимал"</t>
  </si>
  <si>
    <t>ремонт живлячого пристрою апарата рентгенівського</t>
  </si>
  <si>
    <t>152/24</t>
  </si>
  <si>
    <t>конектор для вуглекислого газу</t>
  </si>
  <si>
    <t>127/24</t>
  </si>
  <si>
    <t>ремонт стерилізатора парового</t>
  </si>
  <si>
    <t>233</t>
  </si>
  <si>
    <t>ФОП Заболотна О.Л. ТЗ UA-2024-03-07-005088-а від 25.03.24</t>
  </si>
  <si>
    <t>380</t>
  </si>
  <si>
    <t>відділення післядипломної освіти, цикл тематичного удосконалення "Хірургія"</t>
  </si>
  <si>
    <t>встановлення вузла обліку теплової енергії в будівлі котельні</t>
  </si>
  <si>
    <t>проведення санітарної дозиметрії та оформлення технічної документації</t>
  </si>
  <si>
    <t>684</t>
  </si>
  <si>
    <t>16.10.24</t>
  </si>
  <si>
    <t>фармацевтична продукція (азеонам, військовому)</t>
  </si>
  <si>
    <t>614</t>
  </si>
  <si>
    <t>ТОВ "БВС Ритейл" ТЗ UA-2024-09-27-003158-а від 03.10.24</t>
  </si>
  <si>
    <t>основні неорганічні хімічні речовини</t>
  </si>
  <si>
    <t>ТОВ "Понтем.уа" ТЗ UA-2024-09-26-007494-а від 15.10.24 д.уг.№1 від 25.10.24</t>
  </si>
  <si>
    <t>450</t>
  </si>
  <si>
    <t>послуги по боротьбі з карантинною рослинністю: покіс трав, бур'янів та карантинних рослин</t>
  </si>
  <si>
    <r>
      <rPr>
        <b/>
        <sz val="12"/>
        <color rgb="FFFF0000"/>
        <rFont val="Times New Roman"/>
        <family val="1"/>
        <charset val="204"/>
      </rPr>
      <t>ТОВ "Скалекс сервіс"</t>
    </r>
    <r>
      <rPr>
        <sz val="12"/>
        <color theme="1"/>
        <rFont val="Times New Roman"/>
        <family val="1"/>
        <charset val="204"/>
      </rPr>
      <t xml:space="preserve"> (казначейство р/р UA708201720344351012100099569) КПК 0717691 </t>
    </r>
    <r>
      <rPr>
        <b/>
        <sz val="12"/>
        <color rgb="FFFF0000"/>
        <rFont val="Times New Roman"/>
        <family val="1"/>
        <charset val="204"/>
      </rPr>
      <t>СПЕЦІАЛЬНИЙ ФОНД</t>
    </r>
    <r>
      <rPr>
        <sz val="12"/>
        <color theme="1"/>
        <rFont val="Times New Roman"/>
        <family val="1"/>
        <charset val="204"/>
      </rPr>
      <t xml:space="preserve"> ТЗ UA-2024-06-05-008890-а від 25.06.24 д.уг.№1 25.10.24</t>
    </r>
  </si>
  <si>
    <t>691</t>
  </si>
  <si>
    <t>690</t>
  </si>
  <si>
    <t>ТОВ "Центр сертифікації ключів "Україна""</t>
  </si>
  <si>
    <t xml:space="preserve">обробка даних та формування кваліфікованогот сетрифікату відкритого ключа; постачання КП "Програмний комплекс "Варта"" </t>
  </si>
  <si>
    <t>599</t>
  </si>
  <si>
    <t>ПП "Вайтмед" ТЗ UA-2024-09-16-011223-а від 01.10.24</t>
  </si>
  <si>
    <t>ПОКП "Полтавафарм"</t>
  </si>
  <si>
    <t>463</t>
  </si>
  <si>
    <t>ТОВ "МДЦ Експерт"</t>
  </si>
  <si>
    <t>ТОВ "МДЦ Експерт" ТЗ UA-2024-06-17-009586-а від 01.07.24</t>
  </si>
  <si>
    <t>ФОП Запара Л.С. ТЗ UA-2024-09-20-009121-а від 09.10.24</t>
  </si>
  <si>
    <t>діагностична візуалізація (мультизрізова комп'ютерна томографія)</t>
  </si>
  <si>
    <t>413</t>
  </si>
  <si>
    <t>431</t>
  </si>
  <si>
    <t>623</t>
  </si>
  <si>
    <r>
      <t>технічний нагляд за об'єктом:</t>
    </r>
    <r>
      <rPr>
        <b/>
        <sz val="10"/>
        <color rgb="FFFF0000"/>
        <rFont val="Times New Roman"/>
        <family val="1"/>
        <charset val="204"/>
      </rPr>
      <t xml:space="preserve"> "Капітальний ремонт санітарно-гігієнічного приміщення на I поверсі будівлі КДЦ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0"/>
        <color rgb="FF00B050"/>
        <rFont val="Times New Roman"/>
        <family val="1"/>
        <charset val="204"/>
      </rPr>
      <t>КНМП "Лікарня інтенсивного лікування "Кременчуцька"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0"/>
        <color rgb="FFFF0000"/>
        <rFont val="Times New Roman"/>
        <family val="1"/>
        <charset val="204"/>
      </rPr>
      <t>з влаштуванням засобів безперешкодного доступу осіб з інвалідністю та інших маломобільних груп населення</t>
    </r>
    <r>
      <rPr>
        <b/>
        <sz val="10"/>
        <color theme="1"/>
        <rFont val="Times New Roman"/>
        <family val="1"/>
        <charset val="204"/>
      </rPr>
      <t xml:space="preserve"> за адресою: просп. Л. Українки, 80"</t>
    </r>
  </si>
  <si>
    <r>
      <t xml:space="preserve">КВП "Кременчуцьке міське управління капітального будівництва" </t>
    </r>
    <r>
      <rPr>
        <sz val="12"/>
        <rFont val="Times New Roman"/>
        <family val="1"/>
        <charset val="204"/>
      </rPr>
      <t xml:space="preserve">UA628201720344311008400099569) КПК 0712010 </t>
    </r>
    <r>
      <rPr>
        <b/>
        <sz val="12"/>
        <color rgb="FFFF0000"/>
        <rFont val="Times New Roman"/>
        <family val="1"/>
        <charset val="204"/>
      </rPr>
      <t>д.уг.№1 від 30.10.24</t>
    </r>
  </si>
  <si>
    <t>ПАКС-13-24</t>
  </si>
  <si>
    <t>ТОВ "Телемед.ЮА" дитяча</t>
  </si>
  <si>
    <t>484</t>
  </si>
  <si>
    <t>ТОВ "Дойч-Фарм" ТЗ UA-2024-07-04-003457-а від 11.07.24</t>
  </si>
  <si>
    <t>202/07</t>
  </si>
  <si>
    <t>навчання по ЗУ "Про охорону праці" та інших підзаконних актів</t>
  </si>
  <si>
    <t>611</t>
  </si>
  <si>
    <t>заміна ремкомплекта гальмівних колодок</t>
  </si>
  <si>
    <r>
      <t xml:space="preserve">ТОВ "КРЕМІНЬ-АВТОСВІТ" </t>
    </r>
    <r>
      <rPr>
        <b/>
        <sz val="10"/>
        <color rgb="FFFF0000"/>
        <rFont val="Times New Roman"/>
        <family val="1"/>
        <charset val="204"/>
      </rPr>
      <t>не було договору</t>
    </r>
  </si>
  <si>
    <t>622</t>
  </si>
  <si>
    <t>ФОП Хрипко Я.В.</t>
  </si>
  <si>
    <t>канцелярські товари</t>
  </si>
  <si>
    <t>відділення післядипломної освіти, цикл тематичного удосконалення "Анестезіологія"</t>
  </si>
  <si>
    <t>відділення післядипломної освіти, цикл тематичного удосконалення "Терапія"</t>
  </si>
  <si>
    <t>698</t>
  </si>
  <si>
    <t>стерилан</t>
  </si>
  <si>
    <t>701</t>
  </si>
  <si>
    <t>ФОП Кириленко Д.Б.</t>
  </si>
  <si>
    <t>простирадло</t>
  </si>
  <si>
    <t>702</t>
  </si>
  <si>
    <t>манжета до електронного тонометра</t>
  </si>
  <si>
    <t>450 перевірити</t>
  </si>
  <si>
    <t>1805</t>
  </si>
  <si>
    <t>Полтавський базовий медичний фаховий коледж</t>
  </si>
  <si>
    <t>підвищення кваліфікації з видачею посвідчення за циклом тематичного удосконалення "Дієтологія"</t>
  </si>
  <si>
    <t>ТОВ "Медлайф" Звіт без використання закупівель UA-2023-12-08-007932-a, д.уг.№3в.06.11.24</t>
  </si>
  <si>
    <t>621</t>
  </si>
  <si>
    <t>електрод референтний</t>
  </si>
  <si>
    <t>1000475299</t>
  </si>
  <si>
    <t>ФОП Сушицька І.В.</t>
  </si>
  <si>
    <t>доступ в режимі он-лайн до електронних баз наукової та науково-технічної інформації, інформаційного ресурсу Головбух бюджет</t>
  </si>
  <si>
    <t>19/24Г</t>
  </si>
  <si>
    <t>перетікання реактивної електричної енергії</t>
  </si>
  <si>
    <t>582</t>
  </si>
  <si>
    <t>бланки, медичні картки</t>
  </si>
  <si>
    <t>31.01.24</t>
  </si>
  <si>
    <t>509</t>
  </si>
  <si>
    <t>ТОВ "Аметрін ФК" ТЗ UA-2024-07-15-008240-а від 23.07.24</t>
  </si>
  <si>
    <t>602</t>
  </si>
  <si>
    <t>ТОВ "Медичний центр "М.Т.К." ТЗ UA-2024-09-24-009684-а від 27.09.24</t>
  </si>
  <si>
    <t>216</t>
  </si>
  <si>
    <t>597</t>
  </si>
  <si>
    <t>ТОВ "Ледум"</t>
  </si>
  <si>
    <t>мікро пробірки</t>
  </si>
  <si>
    <t>51/24</t>
  </si>
  <si>
    <t>КП "Муніципальна Варта"</t>
  </si>
  <si>
    <t>батарейка</t>
  </si>
  <si>
    <t>612</t>
  </si>
  <si>
    <t>ФОП Сущенко К.В.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</si>
</sst>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"/>
      <color rgb="FF00B05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0" tint="-0.49998474074526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" fontId="0" fillId="0" borderId="0" xfId="0" applyNumberFormat="1"/>
    <xf numFmtId="0" fontId="3" fillId="4" borderId="1" xfId="0" applyFont="1" applyFill="1" applyBorder="1" applyAlignment="1">
      <alignment horizontal="left" vertical="center" wrapText="1"/>
    </xf>
    <xf numFmtId="0" fontId="0" fillId="4" borderId="0" xfId="0" applyFill="1"/>
    <xf numFmtId="0" fontId="1" fillId="4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13" fillId="4" borderId="0" xfId="0" applyFont="1" applyFill="1"/>
    <xf numFmtId="0" fontId="13" fillId="0" borderId="0" xfId="0" applyFont="1"/>
    <xf numFmtId="49" fontId="11" fillId="4" borderId="1" xfId="0" applyNumberFormat="1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right" vertical="center" wrapText="1"/>
    </xf>
    <xf numFmtId="4" fontId="12" fillId="4" borderId="1" xfId="0" applyNumberFormat="1" applyFont="1" applyFill="1" applyBorder="1" applyAlignment="1">
      <alignment horizontal="right" vertical="center" wrapText="1"/>
    </xf>
    <xf numFmtId="164" fontId="12" fillId="3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4" fontId="11" fillId="4" borderId="1" xfId="0" applyNumberFormat="1" applyFont="1" applyFill="1" applyBorder="1" applyAlignment="1">
      <alignment horizontal="right" vertical="center" wrapText="1"/>
    </xf>
    <xf numFmtId="4" fontId="14" fillId="3" borderId="1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4" fontId="7" fillId="6" borderId="1" xfId="0" applyNumberFormat="1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horizontal="right" vertical="center" wrapText="1"/>
    </xf>
    <xf numFmtId="0" fontId="0" fillId="2" borderId="0" xfId="0" applyFill="1"/>
    <xf numFmtId="0" fontId="0" fillId="3" borderId="0" xfId="0" applyFill="1"/>
    <xf numFmtId="0" fontId="9" fillId="0" borderId="1" xfId="0" applyFont="1" applyBorder="1" applyAlignment="1">
      <alignment horizontal="left" vertical="center" wrapText="1"/>
    </xf>
    <xf numFmtId="4" fontId="7" fillId="7" borderId="1" xfId="0" applyNumberFormat="1" applyFont="1" applyFill="1" applyBorder="1" applyAlignment="1">
      <alignment horizontal="right" vertical="center" wrapText="1"/>
    </xf>
    <xf numFmtId="0" fontId="7" fillId="7" borderId="1" xfId="0" applyFont="1" applyFill="1" applyBorder="1" applyAlignment="1">
      <alignment horizontal="left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righ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 wrapText="1"/>
    </xf>
    <xf numFmtId="4" fontId="17" fillId="0" borderId="0" xfId="0" applyNumberFormat="1" applyFont="1"/>
    <xf numFmtId="0" fontId="6" fillId="4" borderId="1" xfId="0" applyFont="1" applyFill="1" applyBorder="1" applyAlignment="1">
      <alignment horizontal="left" vertical="center" wrapText="1"/>
    </xf>
    <xf numFmtId="4" fontId="2" fillId="4" borderId="1" xfId="0" applyNumberFormat="1" applyFont="1" applyFill="1" applyBorder="1" applyAlignment="1">
      <alignment horizontal="right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9" fillId="4" borderId="1" xfId="0" applyFont="1" applyFill="1" applyBorder="1" applyAlignment="1">
      <alignment horizontal="left" vertical="center" wrapText="1"/>
    </xf>
    <xf numFmtId="2" fontId="0" fillId="2" borderId="0" xfId="0" applyNumberFormat="1" applyFill="1"/>
    <xf numFmtId="0" fontId="12" fillId="3" borderId="1" xfId="0" applyFont="1" applyFill="1" applyBorder="1" applyAlignment="1">
      <alignment horizontal="left" vertical="center" wrapText="1"/>
    </xf>
    <xf numFmtId="0" fontId="13" fillId="2" borderId="0" xfId="0" applyFont="1" applyFill="1"/>
    <xf numFmtId="0" fontId="6" fillId="3" borderId="1" xfId="0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188"/>
  <sheetViews>
    <sheetView zoomScale="75" zoomScaleNormal="75" workbookViewId="0">
      <pane xSplit="14" ySplit="25" topLeftCell="O177" activePane="bottomRight" state="frozen"/>
      <selection pane="topRight" activeCell="N1" sqref="N1"/>
      <selection pane="bottomLeft" activeCell="A26" sqref="A26"/>
      <selection pane="bottomRight" activeCell="H1" sqref="A1:XFD190"/>
    </sheetView>
  </sheetViews>
  <sheetFormatPr defaultRowHeight="15" x14ac:dyDescent="0.25"/>
  <cols>
    <col min="1" max="1" width="3.7109375" customWidth="1"/>
    <col min="2" max="2" width="8.85546875" customWidth="1"/>
    <col min="3" max="3" width="7.7109375" customWidth="1"/>
    <col min="4" max="4" width="8.140625" customWidth="1"/>
    <col min="5" max="5" width="28.140625" customWidth="1"/>
    <col min="6" max="6" width="31.85546875" customWidth="1"/>
    <col min="7" max="7" width="13.28515625" customWidth="1"/>
    <col min="8" max="8" width="12.5703125" customWidth="1"/>
    <col min="9" max="10" width="12.140625" customWidth="1"/>
    <col min="11" max="11" width="12.5703125" customWidth="1"/>
    <col min="12" max="12" width="12.140625" customWidth="1"/>
    <col min="13" max="14" width="12.7109375" customWidth="1"/>
    <col min="15" max="15" width="11.7109375" customWidth="1"/>
    <col min="16" max="16" width="11.28515625" customWidth="1"/>
    <col min="17" max="19" width="12" customWidth="1"/>
    <col min="20" max="20" width="11.42578125" customWidth="1"/>
    <col min="21" max="21" width="12" customWidth="1"/>
    <col min="22" max="23" width="11.5703125" customWidth="1"/>
    <col min="24" max="24" width="11.85546875" customWidth="1"/>
    <col min="25" max="25" width="11.140625" customWidth="1"/>
    <col min="26" max="26" width="12.42578125" customWidth="1"/>
    <col min="27" max="28" width="13" customWidth="1"/>
    <col min="29" max="29" width="9.140625" customWidth="1"/>
  </cols>
  <sheetData>
    <row r="1" spans="1:28" ht="15" customHeight="1" x14ac:dyDescent="0.25">
      <c r="A1" s="66" t="s">
        <v>0</v>
      </c>
      <c r="B1" s="66" t="s">
        <v>1</v>
      </c>
      <c r="C1" s="66" t="s">
        <v>22</v>
      </c>
      <c r="D1" s="66" t="s">
        <v>21</v>
      </c>
      <c r="E1" s="66" t="s">
        <v>289</v>
      </c>
      <c r="F1" s="66" t="s">
        <v>3</v>
      </c>
      <c r="G1" s="66" t="s">
        <v>4</v>
      </c>
      <c r="H1" s="63" t="s">
        <v>7</v>
      </c>
      <c r="I1" s="64"/>
      <c r="J1" s="64"/>
      <c r="K1" s="64"/>
      <c r="L1" s="64"/>
      <c r="M1" s="64"/>
      <c r="N1" s="64"/>
      <c r="O1" s="64"/>
      <c r="P1" s="65"/>
      <c r="Q1" s="66" t="s">
        <v>314</v>
      </c>
      <c r="R1" s="66"/>
      <c r="S1" s="66"/>
      <c r="T1" s="66"/>
      <c r="U1" s="66"/>
      <c r="V1" s="66"/>
      <c r="W1" s="66"/>
      <c r="X1" s="66"/>
      <c r="Y1" s="66"/>
      <c r="Z1" s="66" t="s">
        <v>6</v>
      </c>
      <c r="AA1" s="66" t="s">
        <v>315</v>
      </c>
    </row>
    <row r="2" spans="1:28" ht="27.75" customHeight="1" x14ac:dyDescent="0.25">
      <c r="A2" s="66"/>
      <c r="B2" s="66"/>
      <c r="C2" s="66"/>
      <c r="D2" s="66"/>
      <c r="E2" s="66"/>
      <c r="F2" s="66"/>
      <c r="G2" s="66"/>
      <c r="H2" s="66" t="s">
        <v>307</v>
      </c>
      <c r="I2" s="66" t="s">
        <v>308</v>
      </c>
      <c r="J2" s="66" t="s">
        <v>962</v>
      </c>
      <c r="K2" s="66" t="s">
        <v>309</v>
      </c>
      <c r="L2" s="66" t="s">
        <v>310</v>
      </c>
      <c r="M2" s="66" t="s">
        <v>311</v>
      </c>
      <c r="N2" s="70" t="s">
        <v>312</v>
      </c>
      <c r="O2" s="66" t="s">
        <v>313</v>
      </c>
      <c r="P2" s="66" t="s">
        <v>5</v>
      </c>
      <c r="Q2" s="66" t="s">
        <v>307</v>
      </c>
      <c r="R2" s="66" t="s">
        <v>308</v>
      </c>
      <c r="S2" s="66" t="s">
        <v>962</v>
      </c>
      <c r="T2" s="68" t="s">
        <v>309</v>
      </c>
      <c r="U2" s="66" t="s">
        <v>310</v>
      </c>
      <c r="V2" s="66" t="s">
        <v>311</v>
      </c>
      <c r="W2" s="70" t="s">
        <v>312</v>
      </c>
      <c r="X2" s="66" t="s">
        <v>313</v>
      </c>
      <c r="Y2" s="66" t="s">
        <v>5</v>
      </c>
      <c r="Z2" s="66"/>
      <c r="AA2" s="66"/>
    </row>
    <row r="3" spans="1:28" ht="39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70"/>
      <c r="O3" s="66"/>
      <c r="P3" s="66"/>
      <c r="Q3" s="66"/>
      <c r="R3" s="66"/>
      <c r="S3" s="66"/>
      <c r="T3" s="69"/>
      <c r="U3" s="66"/>
      <c r="V3" s="66"/>
      <c r="W3" s="70"/>
      <c r="X3" s="66"/>
      <c r="Y3" s="66"/>
      <c r="Z3" s="66"/>
      <c r="AA3" s="66"/>
    </row>
    <row r="4" spans="1:28" ht="15.75" customHeight="1" x14ac:dyDescent="0.25">
      <c r="A4" s="67" t="s">
        <v>2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3"/>
    </row>
    <row r="5" spans="1:28" ht="38.25" x14ac:dyDescent="0.25">
      <c r="A5" s="7">
        <v>1</v>
      </c>
      <c r="B5" s="8">
        <v>9</v>
      </c>
      <c r="C5" s="9">
        <v>45295</v>
      </c>
      <c r="D5" s="9">
        <v>45351</v>
      </c>
      <c r="E5" s="5" t="s">
        <v>36</v>
      </c>
      <c r="F5" s="5" t="s">
        <v>37</v>
      </c>
      <c r="G5" s="10">
        <v>8889</v>
      </c>
      <c r="H5" s="10"/>
      <c r="I5" s="10">
        <v>8889</v>
      </c>
      <c r="J5" s="10"/>
      <c r="K5" s="10"/>
      <c r="L5" s="10"/>
      <c r="M5" s="10"/>
      <c r="N5" s="10"/>
      <c r="O5" s="10"/>
      <c r="P5" s="10"/>
      <c r="Q5" s="10"/>
      <c r="R5" s="10">
        <v>8889</v>
      </c>
      <c r="S5" s="10"/>
      <c r="T5" s="10"/>
      <c r="U5" s="10"/>
      <c r="V5" s="10"/>
      <c r="W5" s="10"/>
      <c r="X5" s="10"/>
      <c r="Y5" s="10"/>
      <c r="Z5" s="11">
        <f>SUM(Q5:Y5)</f>
        <v>8889</v>
      </c>
      <c r="AA5" s="10">
        <f t="shared" ref="AA5:AA25" si="0">G5-Z5</f>
        <v>0</v>
      </c>
      <c r="AB5" s="3"/>
    </row>
    <row r="6" spans="1:28" ht="38.25" x14ac:dyDescent="0.25">
      <c r="A6" s="7">
        <v>2</v>
      </c>
      <c r="B6" s="8">
        <v>17</v>
      </c>
      <c r="C6" s="9">
        <v>45296</v>
      </c>
      <c r="D6" s="9">
        <v>45657</v>
      </c>
      <c r="E6" s="5" t="s">
        <v>38</v>
      </c>
      <c r="F6" s="5" t="s">
        <v>39</v>
      </c>
      <c r="G6" s="10">
        <v>1793.82</v>
      </c>
      <c r="H6" s="10">
        <v>1793.82</v>
      </c>
      <c r="I6" s="10"/>
      <c r="J6" s="10"/>
      <c r="K6" s="10"/>
      <c r="L6" s="10"/>
      <c r="M6" s="10"/>
      <c r="N6" s="10"/>
      <c r="O6" s="10"/>
      <c r="P6" s="10"/>
      <c r="Q6" s="10">
        <v>1793.82</v>
      </c>
      <c r="R6" s="10"/>
      <c r="S6" s="10"/>
      <c r="T6" s="10"/>
      <c r="U6" s="10"/>
      <c r="V6" s="10"/>
      <c r="W6" s="10"/>
      <c r="X6" s="10"/>
      <c r="Y6" s="10"/>
      <c r="Z6" s="11">
        <f t="shared" ref="Z6:Z9" si="1">SUM(Q6:Y6)</f>
        <v>1793.82</v>
      </c>
      <c r="AA6" s="10">
        <f t="shared" si="0"/>
        <v>0</v>
      </c>
      <c r="AB6" s="3"/>
    </row>
    <row r="7" spans="1:28" ht="25.5" x14ac:dyDescent="0.25">
      <c r="A7" s="7">
        <v>3</v>
      </c>
      <c r="B7" s="8">
        <v>18</v>
      </c>
      <c r="C7" s="9">
        <v>45296</v>
      </c>
      <c r="D7" s="9">
        <v>45657</v>
      </c>
      <c r="E7" s="5" t="s">
        <v>38</v>
      </c>
      <c r="F7" s="5" t="s">
        <v>40</v>
      </c>
      <c r="G7" s="10">
        <v>1635.57</v>
      </c>
      <c r="H7" s="10">
        <v>1635.57</v>
      </c>
      <c r="I7" s="10"/>
      <c r="J7" s="10"/>
      <c r="K7" s="10"/>
      <c r="L7" s="10"/>
      <c r="M7" s="10"/>
      <c r="N7" s="10"/>
      <c r="O7" s="10"/>
      <c r="P7" s="10"/>
      <c r="Q7" s="10">
        <v>1635.57</v>
      </c>
      <c r="R7" s="10"/>
      <c r="S7" s="10"/>
      <c r="T7" s="10"/>
      <c r="U7" s="10"/>
      <c r="V7" s="10"/>
      <c r="W7" s="10"/>
      <c r="X7" s="10"/>
      <c r="Y7" s="10"/>
      <c r="Z7" s="11">
        <f t="shared" si="1"/>
        <v>1635.57</v>
      </c>
      <c r="AA7" s="10">
        <f t="shared" si="0"/>
        <v>0</v>
      </c>
      <c r="AB7" s="3"/>
    </row>
    <row r="8" spans="1:28" x14ac:dyDescent="0.25">
      <c r="A8" s="7">
        <v>4</v>
      </c>
      <c r="B8" s="12" t="s">
        <v>59</v>
      </c>
      <c r="C8" s="9">
        <v>45302</v>
      </c>
      <c r="D8" s="9">
        <v>45657</v>
      </c>
      <c r="E8" s="5" t="s">
        <v>60</v>
      </c>
      <c r="F8" s="5" t="s">
        <v>61</v>
      </c>
      <c r="G8" s="10">
        <v>2520</v>
      </c>
      <c r="H8" s="10">
        <v>2520</v>
      </c>
      <c r="I8" s="10"/>
      <c r="J8" s="10"/>
      <c r="K8" s="10"/>
      <c r="L8" s="10"/>
      <c r="M8" s="10"/>
      <c r="N8" s="10"/>
      <c r="O8" s="10"/>
      <c r="P8" s="10"/>
      <c r="Q8" s="10">
        <v>2520</v>
      </c>
      <c r="R8" s="10"/>
      <c r="S8" s="10"/>
      <c r="T8" s="10"/>
      <c r="U8" s="10"/>
      <c r="V8" s="10"/>
      <c r="W8" s="10"/>
      <c r="X8" s="10"/>
      <c r="Y8" s="10"/>
      <c r="Z8" s="11">
        <f t="shared" si="1"/>
        <v>2520</v>
      </c>
      <c r="AA8" s="10">
        <f t="shared" si="0"/>
        <v>0</v>
      </c>
      <c r="AB8" s="3"/>
    </row>
    <row r="9" spans="1:28" ht="25.5" x14ac:dyDescent="0.25">
      <c r="A9" s="7">
        <v>5</v>
      </c>
      <c r="B9" s="12" t="s">
        <v>80</v>
      </c>
      <c r="C9" s="13">
        <v>45308</v>
      </c>
      <c r="D9" s="13">
        <v>45657</v>
      </c>
      <c r="E9" s="6" t="s">
        <v>81</v>
      </c>
      <c r="F9" s="6" t="s">
        <v>82</v>
      </c>
      <c r="G9" s="10">
        <v>23000</v>
      </c>
      <c r="H9" s="10"/>
      <c r="I9" s="10">
        <v>23000</v>
      </c>
      <c r="J9" s="10"/>
      <c r="K9" s="10"/>
      <c r="L9" s="10"/>
      <c r="M9" s="10"/>
      <c r="N9" s="10"/>
      <c r="O9" s="10"/>
      <c r="P9" s="10"/>
      <c r="Q9" s="10"/>
      <c r="R9" s="10">
        <v>23000</v>
      </c>
      <c r="S9" s="10"/>
      <c r="T9" s="10"/>
      <c r="U9" s="10"/>
      <c r="V9" s="10"/>
      <c r="W9" s="10"/>
      <c r="X9" s="10"/>
      <c r="Y9" s="10"/>
      <c r="Z9" s="11">
        <f t="shared" si="1"/>
        <v>23000</v>
      </c>
      <c r="AA9" s="10">
        <f t="shared" si="0"/>
        <v>0</v>
      </c>
      <c r="AB9" s="3"/>
    </row>
    <row r="10" spans="1:28" ht="51" x14ac:dyDescent="0.25">
      <c r="A10" s="7">
        <v>6</v>
      </c>
      <c r="B10" s="12" t="s">
        <v>89</v>
      </c>
      <c r="C10" s="13">
        <v>45302</v>
      </c>
      <c r="D10" s="13">
        <v>45657</v>
      </c>
      <c r="E10" s="6" t="s">
        <v>91</v>
      </c>
      <c r="F10" s="6" t="s">
        <v>90</v>
      </c>
      <c r="G10" s="10">
        <v>426360</v>
      </c>
      <c r="H10" s="10">
        <f>22440+22440+49840</f>
        <v>94720</v>
      </c>
      <c r="I10" s="10">
        <f>24920+54120</f>
        <v>79040</v>
      </c>
      <c r="J10" s="10"/>
      <c r="K10" s="10"/>
      <c r="L10" s="10"/>
      <c r="M10" s="10"/>
      <c r="N10" s="10"/>
      <c r="O10" s="10"/>
      <c r="P10" s="10">
        <f>47820+54120+54120+49790.4</f>
        <v>205850.4</v>
      </c>
      <c r="Q10" s="10">
        <f>22440+22440+49840</f>
        <v>94720</v>
      </c>
      <c r="R10" s="10">
        <f>24920+54120</f>
        <v>79040</v>
      </c>
      <c r="S10" s="10"/>
      <c r="T10" s="10"/>
      <c r="U10" s="10"/>
      <c r="V10" s="10"/>
      <c r="W10" s="10"/>
      <c r="X10" s="10"/>
      <c r="Y10" s="10">
        <f>47820+54120+54120+49790.4</f>
        <v>205850.4</v>
      </c>
      <c r="Z10" s="11">
        <f t="shared" ref="Z10" si="2">SUM(Q10:Y10)</f>
        <v>379610.4</v>
      </c>
      <c r="AA10" s="10">
        <f t="shared" si="0"/>
        <v>46749.599999999977</v>
      </c>
      <c r="AB10" s="3"/>
    </row>
    <row r="11" spans="1:28" x14ac:dyDescent="0.25">
      <c r="A11" s="7">
        <v>7</v>
      </c>
      <c r="B11" s="12" t="s">
        <v>92</v>
      </c>
      <c r="C11" s="13">
        <v>45309</v>
      </c>
      <c r="D11" s="13">
        <v>45657</v>
      </c>
      <c r="E11" s="6" t="s">
        <v>93</v>
      </c>
      <c r="F11" s="6" t="s">
        <v>94</v>
      </c>
      <c r="G11" s="10">
        <v>1275</v>
      </c>
      <c r="H11" s="10">
        <v>1275</v>
      </c>
      <c r="I11" s="10"/>
      <c r="J11" s="10"/>
      <c r="K11" s="10"/>
      <c r="L11" s="10"/>
      <c r="M11" s="10"/>
      <c r="N11" s="10"/>
      <c r="O11" s="10"/>
      <c r="P11" s="10"/>
      <c r="Q11" s="10">
        <v>1275</v>
      </c>
      <c r="R11" s="10"/>
      <c r="S11" s="10"/>
      <c r="T11" s="10"/>
      <c r="U11" s="10"/>
      <c r="V11" s="10"/>
      <c r="W11" s="10"/>
      <c r="X11" s="10"/>
      <c r="Y11" s="10"/>
      <c r="Z11" s="11">
        <f t="shared" ref="Z11:Z12" si="3">SUM(Q11:Y11)</f>
        <v>1275</v>
      </c>
      <c r="AA11" s="10">
        <f t="shared" si="0"/>
        <v>0</v>
      </c>
      <c r="AB11" s="3"/>
    </row>
    <row r="12" spans="1:28" ht="25.5" x14ac:dyDescent="0.25">
      <c r="A12" s="7">
        <v>8</v>
      </c>
      <c r="B12" s="12" t="s">
        <v>103</v>
      </c>
      <c r="C12" s="13">
        <v>45310</v>
      </c>
      <c r="D12" s="13">
        <v>45657</v>
      </c>
      <c r="E12" s="6" t="s">
        <v>93</v>
      </c>
      <c r="F12" s="6" t="s">
        <v>104</v>
      </c>
      <c r="G12" s="10">
        <v>1860</v>
      </c>
      <c r="H12" s="10">
        <v>1860</v>
      </c>
      <c r="I12" s="10"/>
      <c r="J12" s="10"/>
      <c r="K12" s="10"/>
      <c r="L12" s="10"/>
      <c r="M12" s="10"/>
      <c r="N12" s="10"/>
      <c r="O12" s="10"/>
      <c r="P12" s="10"/>
      <c r="Q12" s="10">
        <v>1860</v>
      </c>
      <c r="R12" s="10"/>
      <c r="S12" s="10"/>
      <c r="T12" s="10"/>
      <c r="U12" s="10"/>
      <c r="V12" s="10"/>
      <c r="W12" s="10"/>
      <c r="X12" s="10"/>
      <c r="Y12" s="10"/>
      <c r="Z12" s="11">
        <f t="shared" si="3"/>
        <v>1860</v>
      </c>
      <c r="AA12" s="10">
        <f t="shared" si="0"/>
        <v>0</v>
      </c>
      <c r="AB12" s="3"/>
    </row>
    <row r="13" spans="1:28" x14ac:dyDescent="0.25">
      <c r="A13" s="7">
        <v>9</v>
      </c>
      <c r="B13" s="12" t="s">
        <v>114</v>
      </c>
      <c r="C13" s="13">
        <v>45289</v>
      </c>
      <c r="D13" s="14"/>
      <c r="E13" s="6" t="s">
        <v>113</v>
      </c>
      <c r="F13" s="15" t="s">
        <v>115</v>
      </c>
      <c r="G13" s="16"/>
      <c r="H13" s="10">
        <v>11850.96</v>
      </c>
      <c r="I13" s="10"/>
      <c r="J13" s="10"/>
      <c r="K13" s="10"/>
      <c r="L13" s="10"/>
      <c r="M13" s="10"/>
      <c r="N13" s="10"/>
      <c r="O13" s="10"/>
      <c r="P13" s="10"/>
      <c r="Q13" s="10">
        <v>11850.96</v>
      </c>
      <c r="R13" s="10"/>
      <c r="S13" s="10"/>
      <c r="T13" s="10"/>
      <c r="U13" s="10"/>
      <c r="V13" s="10"/>
      <c r="W13" s="10"/>
      <c r="X13" s="10"/>
      <c r="Y13" s="10"/>
      <c r="Z13" s="11">
        <f t="shared" ref="Z13" si="4">SUM(Q13:Y13)</f>
        <v>11850.96</v>
      </c>
      <c r="AA13" s="10">
        <f t="shared" si="0"/>
        <v>-11850.96</v>
      </c>
      <c r="AB13" s="3"/>
    </row>
    <row r="14" spans="1:28" x14ac:dyDescent="0.25">
      <c r="A14" s="7">
        <v>10</v>
      </c>
      <c r="B14" s="12" t="s">
        <v>123</v>
      </c>
      <c r="C14" s="13">
        <v>45315</v>
      </c>
      <c r="D14" s="13">
        <v>45657</v>
      </c>
      <c r="E14" s="6" t="s">
        <v>124</v>
      </c>
      <c r="F14" s="17" t="s">
        <v>125</v>
      </c>
      <c r="G14" s="10">
        <v>11786</v>
      </c>
      <c r="H14" s="10">
        <v>11786</v>
      </c>
      <c r="I14" s="10"/>
      <c r="J14" s="10"/>
      <c r="K14" s="10"/>
      <c r="L14" s="10"/>
      <c r="M14" s="10"/>
      <c r="N14" s="10"/>
      <c r="O14" s="10"/>
      <c r="P14" s="10"/>
      <c r="Q14" s="10">
        <v>11786</v>
      </c>
      <c r="R14" s="10"/>
      <c r="S14" s="10"/>
      <c r="T14" s="10"/>
      <c r="U14" s="10"/>
      <c r="V14" s="10"/>
      <c r="W14" s="10"/>
      <c r="X14" s="10"/>
      <c r="Y14" s="10"/>
      <c r="Z14" s="11">
        <f t="shared" ref="Z14" si="5">SUM(Q14:Y14)</f>
        <v>11786</v>
      </c>
      <c r="AA14" s="10">
        <f t="shared" si="0"/>
        <v>0</v>
      </c>
      <c r="AB14" s="3"/>
    </row>
    <row r="15" spans="1:28" x14ac:dyDescent="0.25">
      <c r="A15" s="7">
        <v>11</v>
      </c>
      <c r="B15" s="12" t="s">
        <v>126</v>
      </c>
      <c r="C15" s="13">
        <v>45314</v>
      </c>
      <c r="D15" s="13">
        <v>45657</v>
      </c>
      <c r="E15" s="6" t="s">
        <v>127</v>
      </c>
      <c r="F15" s="17" t="s">
        <v>128</v>
      </c>
      <c r="G15" s="10">
        <v>35800</v>
      </c>
      <c r="H15" s="10"/>
      <c r="I15" s="10">
        <v>35800</v>
      </c>
      <c r="J15" s="10"/>
      <c r="K15" s="10"/>
      <c r="L15" s="10"/>
      <c r="M15" s="10"/>
      <c r="N15" s="10"/>
      <c r="O15" s="10"/>
      <c r="P15" s="10"/>
      <c r="Q15" s="10"/>
      <c r="R15" s="10">
        <v>35800</v>
      </c>
      <c r="S15" s="10"/>
      <c r="T15" s="10"/>
      <c r="U15" s="10"/>
      <c r="V15" s="10"/>
      <c r="W15" s="10"/>
      <c r="X15" s="10"/>
      <c r="Y15" s="10"/>
      <c r="Z15" s="11">
        <f t="shared" ref="Z15" si="6">SUM(Q15:Y15)</f>
        <v>35800</v>
      </c>
      <c r="AA15" s="10">
        <f t="shared" si="0"/>
        <v>0</v>
      </c>
      <c r="AB15" s="3"/>
    </row>
    <row r="16" spans="1:28" x14ac:dyDescent="0.25">
      <c r="A16" s="7">
        <v>12</v>
      </c>
      <c r="B16" s="12" t="s">
        <v>143</v>
      </c>
      <c r="C16" s="13">
        <v>45316</v>
      </c>
      <c r="D16" s="13">
        <v>45657</v>
      </c>
      <c r="E16" s="6" t="s">
        <v>38</v>
      </c>
      <c r="F16" s="17" t="s">
        <v>115</v>
      </c>
      <c r="G16" s="10">
        <v>11357.72</v>
      </c>
      <c r="H16" s="10">
        <v>11357.72</v>
      </c>
      <c r="I16" s="10"/>
      <c r="J16" s="10"/>
      <c r="K16" s="10"/>
      <c r="L16" s="10"/>
      <c r="M16" s="10"/>
      <c r="N16" s="10"/>
      <c r="O16" s="10"/>
      <c r="P16" s="10"/>
      <c r="Q16" s="10">
        <v>11357.72</v>
      </c>
      <c r="R16" s="10"/>
      <c r="S16" s="10"/>
      <c r="T16" s="10"/>
      <c r="U16" s="10"/>
      <c r="V16" s="10"/>
      <c r="W16" s="10"/>
      <c r="X16" s="10"/>
      <c r="Y16" s="10"/>
      <c r="Z16" s="11">
        <f t="shared" ref="Z16" si="7">SUM(Q16:Y16)</f>
        <v>11357.72</v>
      </c>
      <c r="AA16" s="10">
        <f t="shared" si="0"/>
        <v>0</v>
      </c>
      <c r="AB16" s="3"/>
    </row>
    <row r="17" spans="1:28" x14ac:dyDescent="0.25">
      <c r="A17" s="7">
        <v>13</v>
      </c>
      <c r="B17" s="12" t="s">
        <v>151</v>
      </c>
      <c r="C17" s="13">
        <v>45320</v>
      </c>
      <c r="D17" s="13">
        <v>45657</v>
      </c>
      <c r="E17" s="6" t="s">
        <v>152</v>
      </c>
      <c r="F17" s="17" t="s">
        <v>153</v>
      </c>
      <c r="G17" s="10">
        <v>2700</v>
      </c>
      <c r="H17" s="10">
        <v>2700</v>
      </c>
      <c r="I17" s="10"/>
      <c r="J17" s="10"/>
      <c r="K17" s="10"/>
      <c r="L17" s="10"/>
      <c r="M17" s="10"/>
      <c r="N17" s="10"/>
      <c r="O17" s="10"/>
      <c r="P17" s="10"/>
      <c r="Q17" s="10">
        <v>2700</v>
      </c>
      <c r="R17" s="10"/>
      <c r="S17" s="10"/>
      <c r="T17" s="10"/>
      <c r="U17" s="10"/>
      <c r="V17" s="10"/>
      <c r="W17" s="10"/>
      <c r="X17" s="10"/>
      <c r="Y17" s="10"/>
      <c r="Z17" s="11">
        <f t="shared" ref="Z17" si="8">SUM(Q17:Y17)</f>
        <v>2700</v>
      </c>
      <c r="AA17" s="10">
        <f t="shared" si="0"/>
        <v>0</v>
      </c>
      <c r="AB17" s="3"/>
    </row>
    <row r="18" spans="1:28" x14ac:dyDescent="0.25">
      <c r="A18" s="7">
        <v>14</v>
      </c>
      <c r="B18" s="12" t="s">
        <v>154</v>
      </c>
      <c r="C18" s="13">
        <v>45320</v>
      </c>
      <c r="D18" s="13">
        <v>45657</v>
      </c>
      <c r="E18" s="6" t="s">
        <v>155</v>
      </c>
      <c r="F18" s="17" t="s">
        <v>156</v>
      </c>
      <c r="G18" s="10">
        <v>310</v>
      </c>
      <c r="H18" s="10">
        <v>310</v>
      </c>
      <c r="I18" s="10"/>
      <c r="J18" s="10"/>
      <c r="K18" s="10"/>
      <c r="L18" s="10"/>
      <c r="M18" s="10"/>
      <c r="N18" s="10"/>
      <c r="O18" s="10"/>
      <c r="P18" s="10"/>
      <c r="Q18" s="10">
        <v>310</v>
      </c>
      <c r="R18" s="10"/>
      <c r="S18" s="10"/>
      <c r="T18" s="10"/>
      <c r="U18" s="10"/>
      <c r="V18" s="10"/>
      <c r="W18" s="10"/>
      <c r="X18" s="10"/>
      <c r="Y18" s="10"/>
      <c r="Z18" s="11">
        <f t="shared" ref="Z18" si="9">SUM(Q18:Y18)</f>
        <v>310</v>
      </c>
      <c r="AA18" s="10">
        <f t="shared" si="0"/>
        <v>0</v>
      </c>
      <c r="AB18" s="3"/>
    </row>
    <row r="19" spans="1:28" x14ac:dyDescent="0.25">
      <c r="A19" s="7">
        <v>15</v>
      </c>
      <c r="B19" s="12" t="s">
        <v>188</v>
      </c>
      <c r="C19" s="13">
        <v>45328</v>
      </c>
      <c r="D19" s="13">
        <v>45657</v>
      </c>
      <c r="E19" s="6" t="s">
        <v>118</v>
      </c>
      <c r="F19" s="17" t="s">
        <v>189</v>
      </c>
      <c r="G19" s="10">
        <v>636.6</v>
      </c>
      <c r="H19" s="10">
        <v>636.6</v>
      </c>
      <c r="I19" s="10"/>
      <c r="J19" s="10"/>
      <c r="K19" s="10"/>
      <c r="L19" s="10"/>
      <c r="M19" s="10"/>
      <c r="N19" s="10"/>
      <c r="O19" s="10"/>
      <c r="P19" s="10"/>
      <c r="Q19" s="10">
        <v>636.6</v>
      </c>
      <c r="R19" s="10"/>
      <c r="S19" s="10"/>
      <c r="T19" s="10"/>
      <c r="U19" s="10"/>
      <c r="V19" s="10"/>
      <c r="W19" s="10"/>
      <c r="X19" s="10"/>
      <c r="Y19" s="10"/>
      <c r="Z19" s="11">
        <f t="shared" ref="Z19" si="10">SUM(Q19:Y19)</f>
        <v>636.6</v>
      </c>
      <c r="AA19" s="10">
        <f t="shared" si="0"/>
        <v>0</v>
      </c>
      <c r="AB19" s="3"/>
    </row>
    <row r="20" spans="1:28" x14ac:dyDescent="0.25">
      <c r="A20" s="7">
        <v>16</v>
      </c>
      <c r="B20" s="12" t="s">
        <v>198</v>
      </c>
      <c r="C20" s="13">
        <v>45329</v>
      </c>
      <c r="D20" s="13">
        <v>45657</v>
      </c>
      <c r="E20" s="6" t="s">
        <v>199</v>
      </c>
      <c r="F20" s="17" t="s">
        <v>200</v>
      </c>
      <c r="G20" s="10">
        <v>13647.63</v>
      </c>
      <c r="H20" s="10">
        <v>13647.63</v>
      </c>
      <c r="I20" s="10"/>
      <c r="J20" s="10"/>
      <c r="K20" s="10"/>
      <c r="L20" s="10"/>
      <c r="M20" s="10"/>
      <c r="N20" s="10"/>
      <c r="O20" s="10"/>
      <c r="P20" s="10"/>
      <c r="Q20" s="10">
        <v>13647.63</v>
      </c>
      <c r="R20" s="10"/>
      <c r="S20" s="10"/>
      <c r="T20" s="10"/>
      <c r="U20" s="10"/>
      <c r="V20" s="10"/>
      <c r="W20" s="10"/>
      <c r="X20" s="10"/>
      <c r="Y20" s="10"/>
      <c r="Z20" s="11">
        <f t="shared" ref="Z20" si="11">SUM(Q20:Y20)</f>
        <v>13647.63</v>
      </c>
      <c r="AA20" s="10">
        <f t="shared" si="0"/>
        <v>0</v>
      </c>
      <c r="AB20" s="3"/>
    </row>
    <row r="21" spans="1:28" x14ac:dyDescent="0.25">
      <c r="A21" s="7">
        <v>17</v>
      </c>
      <c r="B21" s="12" t="s">
        <v>201</v>
      </c>
      <c r="C21" s="13">
        <v>45329</v>
      </c>
      <c r="D21" s="13">
        <v>45657</v>
      </c>
      <c r="E21" s="6" t="s">
        <v>199</v>
      </c>
      <c r="F21" s="17" t="s">
        <v>202</v>
      </c>
      <c r="G21" s="10">
        <v>14970</v>
      </c>
      <c r="H21" s="10"/>
      <c r="I21" s="10">
        <v>14970</v>
      </c>
      <c r="J21" s="10"/>
      <c r="K21" s="10"/>
      <c r="L21" s="10"/>
      <c r="M21" s="10"/>
      <c r="N21" s="10"/>
      <c r="O21" s="10"/>
      <c r="P21" s="10"/>
      <c r="Q21" s="10"/>
      <c r="R21" s="10">
        <v>14970</v>
      </c>
      <c r="S21" s="10"/>
      <c r="T21" s="10"/>
      <c r="U21" s="10"/>
      <c r="V21" s="10"/>
      <c r="W21" s="10"/>
      <c r="X21" s="10"/>
      <c r="Y21" s="10"/>
      <c r="Z21" s="11">
        <f t="shared" ref="Z21" si="12">SUM(Q21:Y21)</f>
        <v>14970</v>
      </c>
      <c r="AA21" s="10">
        <f t="shared" si="0"/>
        <v>0</v>
      </c>
      <c r="AB21" s="3"/>
    </row>
    <row r="22" spans="1:28" x14ac:dyDescent="0.25">
      <c r="A22" s="7">
        <v>18</v>
      </c>
      <c r="B22" s="12" t="s">
        <v>208</v>
      </c>
      <c r="C22" s="13">
        <v>45327</v>
      </c>
      <c r="D22" s="13">
        <v>45657</v>
      </c>
      <c r="E22" s="6" t="s">
        <v>155</v>
      </c>
      <c r="F22" s="17" t="s">
        <v>209</v>
      </c>
      <c r="G22" s="10">
        <v>11900</v>
      </c>
      <c r="H22" s="10"/>
      <c r="I22" s="10"/>
      <c r="J22" s="10"/>
      <c r="K22" s="10"/>
      <c r="L22" s="10">
        <v>11900</v>
      </c>
      <c r="M22" s="10"/>
      <c r="N22" s="10"/>
      <c r="O22" s="10"/>
      <c r="P22" s="10"/>
      <c r="Q22" s="10"/>
      <c r="R22" s="10"/>
      <c r="S22" s="10"/>
      <c r="T22" s="10"/>
      <c r="U22" s="10">
        <v>11900</v>
      </c>
      <c r="V22" s="10"/>
      <c r="W22" s="10"/>
      <c r="X22" s="10"/>
      <c r="Y22" s="10"/>
      <c r="Z22" s="11">
        <f t="shared" ref="Z22" si="13">SUM(Q22:Y22)</f>
        <v>11900</v>
      </c>
      <c r="AA22" s="10">
        <f t="shared" si="0"/>
        <v>0</v>
      </c>
      <c r="AB22" s="3"/>
    </row>
    <row r="23" spans="1:28" x14ac:dyDescent="0.25">
      <c r="A23" s="7">
        <v>19</v>
      </c>
      <c r="B23" s="12" t="s">
        <v>213</v>
      </c>
      <c r="C23" s="13">
        <v>45330</v>
      </c>
      <c r="D23" s="13">
        <v>45657</v>
      </c>
      <c r="E23" s="6" t="s">
        <v>214</v>
      </c>
      <c r="F23" s="17" t="s">
        <v>115</v>
      </c>
      <c r="G23" s="10">
        <v>7672.4</v>
      </c>
      <c r="H23" s="10"/>
      <c r="I23" s="10">
        <f>6680+992.4</f>
        <v>7672.4</v>
      </c>
      <c r="J23" s="10"/>
      <c r="K23" s="10"/>
      <c r="L23" s="10"/>
      <c r="M23" s="10"/>
      <c r="N23" s="10"/>
      <c r="O23" s="10"/>
      <c r="P23" s="10"/>
      <c r="Q23" s="10"/>
      <c r="R23" s="10">
        <f>6680+992.4</f>
        <v>7672.4</v>
      </c>
      <c r="S23" s="10"/>
      <c r="T23" s="10"/>
      <c r="U23" s="10"/>
      <c r="V23" s="10"/>
      <c r="W23" s="10"/>
      <c r="X23" s="10"/>
      <c r="Y23" s="10"/>
      <c r="Z23" s="11">
        <f t="shared" ref="Z23" si="14">SUM(Q23:Y23)</f>
        <v>7672.4</v>
      </c>
      <c r="AA23" s="10">
        <f t="shared" si="0"/>
        <v>0</v>
      </c>
      <c r="AB23" s="3"/>
    </row>
    <row r="24" spans="1:28" x14ac:dyDescent="0.25">
      <c r="A24" s="7">
        <v>20</v>
      </c>
      <c r="B24" s="12" t="s">
        <v>221</v>
      </c>
      <c r="C24" s="13">
        <v>45335</v>
      </c>
      <c r="D24" s="13">
        <v>45657</v>
      </c>
      <c r="E24" s="6" t="s">
        <v>222</v>
      </c>
      <c r="F24" s="17" t="s">
        <v>223</v>
      </c>
      <c r="G24" s="10">
        <v>13176</v>
      </c>
      <c r="H24" s="10"/>
      <c r="I24" s="10">
        <v>13176</v>
      </c>
      <c r="J24" s="10"/>
      <c r="K24" s="10"/>
      <c r="L24" s="10"/>
      <c r="M24" s="10"/>
      <c r="N24" s="10"/>
      <c r="O24" s="10"/>
      <c r="P24" s="10"/>
      <c r="Q24" s="10"/>
      <c r="R24" s="10">
        <v>13176</v>
      </c>
      <c r="S24" s="10"/>
      <c r="T24" s="10"/>
      <c r="U24" s="10"/>
      <c r="V24" s="10"/>
      <c r="W24" s="10"/>
      <c r="X24" s="10"/>
      <c r="Y24" s="10"/>
      <c r="Z24" s="11">
        <f t="shared" ref="Z24" si="15">SUM(Q24:Y24)</f>
        <v>13176</v>
      </c>
      <c r="AA24" s="10">
        <f t="shared" si="0"/>
        <v>0</v>
      </c>
      <c r="AB24" s="3"/>
    </row>
    <row r="25" spans="1:28" x14ac:dyDescent="0.25">
      <c r="A25" s="7">
        <v>21</v>
      </c>
      <c r="B25" s="12" t="s">
        <v>252</v>
      </c>
      <c r="C25" s="13">
        <v>45337</v>
      </c>
      <c r="D25" s="13">
        <v>45657</v>
      </c>
      <c r="E25" s="6" t="s">
        <v>127</v>
      </c>
      <c r="F25" s="17" t="s">
        <v>253</v>
      </c>
      <c r="G25" s="10">
        <v>900</v>
      </c>
      <c r="H25" s="10"/>
      <c r="I25" s="10"/>
      <c r="J25" s="10"/>
      <c r="K25" s="10"/>
      <c r="L25" s="10">
        <v>900</v>
      </c>
      <c r="M25" s="10"/>
      <c r="N25" s="10"/>
      <c r="O25" s="10"/>
      <c r="P25" s="10"/>
      <c r="Q25" s="10"/>
      <c r="R25" s="10"/>
      <c r="S25" s="10"/>
      <c r="T25" s="10"/>
      <c r="U25" s="10">
        <v>900</v>
      </c>
      <c r="V25" s="10"/>
      <c r="W25" s="10"/>
      <c r="X25" s="10"/>
      <c r="Y25" s="10"/>
      <c r="Z25" s="11">
        <f t="shared" ref="Z25" si="16">SUM(Q25:Y25)</f>
        <v>900</v>
      </c>
      <c r="AA25" s="10">
        <f t="shared" si="0"/>
        <v>0</v>
      </c>
      <c r="AB25" s="3"/>
    </row>
    <row r="26" spans="1:28" ht="25.5" x14ac:dyDescent="0.25">
      <c r="A26" s="7">
        <v>22</v>
      </c>
      <c r="B26" s="12" t="s">
        <v>255</v>
      </c>
      <c r="C26" s="13">
        <v>45335</v>
      </c>
      <c r="D26" s="13">
        <v>45657</v>
      </c>
      <c r="E26" s="6" t="s">
        <v>256</v>
      </c>
      <c r="F26" s="17" t="s">
        <v>257</v>
      </c>
      <c r="G26" s="10">
        <v>1319</v>
      </c>
      <c r="H26" s="10"/>
      <c r="I26" s="10">
        <f>253+1066</f>
        <v>1319</v>
      </c>
      <c r="J26" s="10"/>
      <c r="K26" s="10"/>
      <c r="L26" s="10"/>
      <c r="M26" s="10"/>
      <c r="N26" s="10"/>
      <c r="O26" s="10"/>
      <c r="P26" s="10"/>
      <c r="Q26" s="10"/>
      <c r="R26" s="10">
        <f>253+1066</f>
        <v>1319</v>
      </c>
      <c r="S26" s="10"/>
      <c r="T26" s="10"/>
      <c r="U26" s="10"/>
      <c r="V26" s="10"/>
      <c r="W26" s="10"/>
      <c r="X26" s="10"/>
      <c r="Y26" s="10"/>
      <c r="Z26" s="11">
        <f t="shared" ref="Z26:Z89" si="17">SUM(Q26:Y26)</f>
        <v>1319</v>
      </c>
      <c r="AA26" s="10">
        <f t="shared" ref="AA26:AA89" si="18">G26-Z26</f>
        <v>0</v>
      </c>
      <c r="AB26" s="3"/>
    </row>
    <row r="27" spans="1:28" ht="25.5" x14ac:dyDescent="0.25">
      <c r="A27" s="7">
        <v>23</v>
      </c>
      <c r="B27" s="12" t="s">
        <v>258</v>
      </c>
      <c r="C27" s="13">
        <v>45335</v>
      </c>
      <c r="D27" s="13">
        <v>45657</v>
      </c>
      <c r="E27" s="6" t="s">
        <v>199</v>
      </c>
      <c r="F27" s="17" t="s">
        <v>259</v>
      </c>
      <c r="G27" s="10">
        <v>28140</v>
      </c>
      <c r="H27" s="10">
        <v>28140</v>
      </c>
      <c r="I27" s="10"/>
      <c r="J27" s="10"/>
      <c r="K27" s="10"/>
      <c r="L27" s="10"/>
      <c r="M27" s="10"/>
      <c r="N27" s="10"/>
      <c r="O27" s="10"/>
      <c r="P27" s="10"/>
      <c r="Q27" s="10">
        <v>28140</v>
      </c>
      <c r="R27" s="10"/>
      <c r="S27" s="10"/>
      <c r="T27" s="10"/>
      <c r="U27" s="10"/>
      <c r="V27" s="10"/>
      <c r="W27" s="10"/>
      <c r="X27" s="10"/>
      <c r="Y27" s="10"/>
      <c r="Z27" s="11">
        <f t="shared" si="17"/>
        <v>28140</v>
      </c>
      <c r="AA27" s="10">
        <f t="shared" si="18"/>
        <v>0</v>
      </c>
      <c r="AB27" s="3"/>
    </row>
    <row r="28" spans="1:28" x14ac:dyDescent="0.25">
      <c r="A28" s="7">
        <v>24</v>
      </c>
      <c r="B28" s="12" t="s">
        <v>266</v>
      </c>
      <c r="C28" s="13">
        <v>45341</v>
      </c>
      <c r="D28" s="13">
        <v>45657</v>
      </c>
      <c r="E28" s="6" t="s">
        <v>267</v>
      </c>
      <c r="F28" s="17" t="s">
        <v>115</v>
      </c>
      <c r="G28" s="10">
        <v>14500.28</v>
      </c>
      <c r="H28" s="10"/>
      <c r="I28" s="10"/>
      <c r="J28" s="10"/>
      <c r="K28" s="10"/>
      <c r="L28" s="10">
        <v>14500.28</v>
      </c>
      <c r="M28" s="10"/>
      <c r="N28" s="10"/>
      <c r="O28" s="10"/>
      <c r="P28" s="10"/>
      <c r="Q28" s="10"/>
      <c r="R28" s="10"/>
      <c r="S28" s="10"/>
      <c r="T28" s="10"/>
      <c r="U28" s="10">
        <v>14500.28</v>
      </c>
      <c r="V28" s="10"/>
      <c r="W28" s="10"/>
      <c r="X28" s="10"/>
      <c r="Y28" s="10"/>
      <c r="Z28" s="11">
        <f t="shared" si="17"/>
        <v>14500.28</v>
      </c>
      <c r="AA28" s="10">
        <f t="shared" si="18"/>
        <v>0</v>
      </c>
      <c r="AB28" s="3"/>
    </row>
    <row r="29" spans="1:28" x14ac:dyDescent="0.25">
      <c r="A29" s="7">
        <v>25</v>
      </c>
      <c r="B29" s="12" t="s">
        <v>268</v>
      </c>
      <c r="C29" s="13">
        <v>45335</v>
      </c>
      <c r="D29" s="13">
        <v>45657</v>
      </c>
      <c r="E29" s="6" t="s">
        <v>199</v>
      </c>
      <c r="F29" s="17" t="s">
        <v>189</v>
      </c>
      <c r="G29" s="10">
        <v>99000</v>
      </c>
      <c r="H29" s="10">
        <v>2056</v>
      </c>
      <c r="I29" s="10"/>
      <c r="J29" s="10"/>
      <c r="K29" s="10"/>
      <c r="L29" s="10"/>
      <c r="M29" s="10"/>
      <c r="N29" s="10"/>
      <c r="O29" s="10"/>
      <c r="P29" s="10">
        <v>18267.849999999999</v>
      </c>
      <c r="Q29" s="10">
        <v>2056</v>
      </c>
      <c r="R29" s="10"/>
      <c r="S29" s="10"/>
      <c r="T29" s="10"/>
      <c r="U29" s="10"/>
      <c r="V29" s="10"/>
      <c r="W29" s="10"/>
      <c r="X29" s="10"/>
      <c r="Y29" s="10">
        <v>18267.849999999999</v>
      </c>
      <c r="Z29" s="11">
        <f t="shared" si="17"/>
        <v>20323.849999999999</v>
      </c>
      <c r="AA29" s="10">
        <f t="shared" si="18"/>
        <v>78676.149999999994</v>
      </c>
      <c r="AB29" s="3"/>
    </row>
    <row r="30" spans="1:28" x14ac:dyDescent="0.25">
      <c r="A30" s="7">
        <v>26</v>
      </c>
      <c r="B30" s="12" t="s">
        <v>271</v>
      </c>
      <c r="C30" s="13">
        <v>45336</v>
      </c>
      <c r="D30" s="13">
        <v>45657</v>
      </c>
      <c r="E30" s="6" t="s">
        <v>272</v>
      </c>
      <c r="F30" s="17" t="s">
        <v>273</v>
      </c>
      <c r="G30" s="10">
        <v>28000</v>
      </c>
      <c r="H30" s="10">
        <v>28000</v>
      </c>
      <c r="I30" s="10"/>
      <c r="J30" s="10"/>
      <c r="K30" s="10"/>
      <c r="L30" s="10"/>
      <c r="M30" s="10"/>
      <c r="N30" s="10"/>
      <c r="O30" s="10"/>
      <c r="P30" s="10"/>
      <c r="Q30" s="10">
        <v>28000</v>
      </c>
      <c r="R30" s="10"/>
      <c r="S30" s="10"/>
      <c r="T30" s="10"/>
      <c r="U30" s="10"/>
      <c r="V30" s="10"/>
      <c r="W30" s="10"/>
      <c r="X30" s="10"/>
      <c r="Y30" s="10"/>
      <c r="Z30" s="11">
        <f t="shared" si="17"/>
        <v>28000</v>
      </c>
      <c r="AA30" s="10">
        <f t="shared" si="18"/>
        <v>0</v>
      </c>
      <c r="AB30" s="3"/>
    </row>
    <row r="31" spans="1:28" ht="15" customHeight="1" x14ac:dyDescent="0.25">
      <c r="A31" s="7">
        <v>27</v>
      </c>
      <c r="B31" s="12" t="s">
        <v>278</v>
      </c>
      <c r="C31" s="13">
        <v>45341</v>
      </c>
      <c r="D31" s="13">
        <v>45657</v>
      </c>
      <c r="E31" s="6" t="s">
        <v>199</v>
      </c>
      <c r="F31" s="17" t="s">
        <v>259</v>
      </c>
      <c r="G31" s="10">
        <v>29300</v>
      </c>
      <c r="H31" s="10"/>
      <c r="I31" s="10">
        <v>29300</v>
      </c>
      <c r="J31" s="10"/>
      <c r="K31" s="10"/>
      <c r="L31" s="10"/>
      <c r="M31" s="10"/>
      <c r="N31" s="10"/>
      <c r="O31" s="10"/>
      <c r="P31" s="10"/>
      <c r="Q31" s="10"/>
      <c r="R31" s="10">
        <v>29300</v>
      </c>
      <c r="S31" s="10"/>
      <c r="T31" s="10"/>
      <c r="U31" s="10"/>
      <c r="V31" s="10"/>
      <c r="W31" s="10"/>
      <c r="X31" s="10"/>
      <c r="Y31" s="10"/>
      <c r="Z31" s="11">
        <f t="shared" si="17"/>
        <v>29300</v>
      </c>
      <c r="AA31" s="10">
        <f t="shared" si="18"/>
        <v>0</v>
      </c>
      <c r="AB31" s="3"/>
    </row>
    <row r="32" spans="1:28" x14ac:dyDescent="0.25">
      <c r="A32" s="7">
        <v>28</v>
      </c>
      <c r="B32" s="12" t="s">
        <v>279</v>
      </c>
      <c r="C32" s="13">
        <v>45342</v>
      </c>
      <c r="D32" s="13">
        <v>45657</v>
      </c>
      <c r="E32" s="6" t="s">
        <v>280</v>
      </c>
      <c r="F32" s="19" t="s">
        <v>281</v>
      </c>
      <c r="G32" s="10">
        <v>6578.1</v>
      </c>
      <c r="H32" s="10"/>
      <c r="I32" s="10">
        <f>3540+3038.1</f>
        <v>6578.1</v>
      </c>
      <c r="J32" s="10"/>
      <c r="K32" s="10"/>
      <c r="L32" s="10"/>
      <c r="M32" s="10"/>
      <c r="N32" s="10"/>
      <c r="O32" s="10"/>
      <c r="P32" s="10"/>
      <c r="Q32" s="10"/>
      <c r="R32" s="10">
        <f>3540+3038.1</f>
        <v>6578.1</v>
      </c>
      <c r="S32" s="10"/>
      <c r="T32" s="10"/>
      <c r="U32" s="10"/>
      <c r="V32" s="10"/>
      <c r="W32" s="10"/>
      <c r="X32" s="10"/>
      <c r="Y32" s="10"/>
      <c r="Z32" s="11">
        <f t="shared" si="17"/>
        <v>6578.1</v>
      </c>
      <c r="AA32" s="10">
        <f t="shared" si="18"/>
        <v>0</v>
      </c>
      <c r="AB32" s="3"/>
    </row>
    <row r="33" spans="1:28" x14ac:dyDescent="0.25">
      <c r="A33" s="7">
        <v>29</v>
      </c>
      <c r="B33" s="12" t="s">
        <v>322</v>
      </c>
      <c r="C33" s="13">
        <v>45349</v>
      </c>
      <c r="D33" s="13">
        <v>45657</v>
      </c>
      <c r="E33" s="6" t="s">
        <v>323</v>
      </c>
      <c r="F33" s="19" t="s">
        <v>324</v>
      </c>
      <c r="G33" s="10">
        <v>730</v>
      </c>
      <c r="H33" s="10">
        <v>730</v>
      </c>
      <c r="I33" s="10"/>
      <c r="J33" s="10"/>
      <c r="K33" s="10"/>
      <c r="L33" s="10"/>
      <c r="M33" s="10"/>
      <c r="N33" s="10"/>
      <c r="O33" s="10"/>
      <c r="P33" s="10"/>
      <c r="Q33" s="10">
        <v>730</v>
      </c>
      <c r="R33" s="10"/>
      <c r="S33" s="10"/>
      <c r="T33" s="10"/>
      <c r="U33" s="10"/>
      <c r="V33" s="10"/>
      <c r="W33" s="10"/>
      <c r="X33" s="10"/>
      <c r="Y33" s="10"/>
      <c r="Z33" s="11">
        <f t="shared" si="17"/>
        <v>730</v>
      </c>
      <c r="AA33" s="10">
        <f t="shared" si="18"/>
        <v>0</v>
      </c>
      <c r="AB33" s="3"/>
    </row>
    <row r="34" spans="1:28" x14ac:dyDescent="0.25">
      <c r="A34" s="7">
        <v>30</v>
      </c>
      <c r="B34" s="12" t="s">
        <v>366</v>
      </c>
      <c r="C34" s="13">
        <v>45330</v>
      </c>
      <c r="D34" s="13">
        <v>45657</v>
      </c>
      <c r="E34" s="6" t="s">
        <v>323</v>
      </c>
      <c r="F34" s="19" t="s">
        <v>367</v>
      </c>
      <c r="G34" s="10">
        <v>2843.16</v>
      </c>
      <c r="H34" s="10"/>
      <c r="I34" s="10"/>
      <c r="J34" s="10"/>
      <c r="K34" s="10"/>
      <c r="L34" s="10"/>
      <c r="M34" s="10"/>
      <c r="N34" s="10"/>
      <c r="O34" s="10"/>
      <c r="P34" s="10">
        <v>2843.16</v>
      </c>
      <c r="Q34" s="10"/>
      <c r="R34" s="10"/>
      <c r="S34" s="10"/>
      <c r="T34" s="10"/>
      <c r="U34" s="10"/>
      <c r="V34" s="10"/>
      <c r="W34" s="10"/>
      <c r="X34" s="10"/>
      <c r="Y34" s="10">
        <v>2843.16</v>
      </c>
      <c r="Z34" s="11">
        <f t="shared" si="17"/>
        <v>2843.16</v>
      </c>
      <c r="AA34" s="10">
        <f t="shared" si="18"/>
        <v>0</v>
      </c>
      <c r="AB34" s="3"/>
    </row>
    <row r="35" spans="1:28" x14ac:dyDescent="0.25">
      <c r="A35" s="7">
        <v>31</v>
      </c>
      <c r="B35" s="12" t="s">
        <v>403</v>
      </c>
      <c r="C35" s="13">
        <v>45350</v>
      </c>
      <c r="D35" s="13">
        <v>45657</v>
      </c>
      <c r="E35" s="6" t="s">
        <v>214</v>
      </c>
      <c r="F35" s="19" t="s">
        <v>115</v>
      </c>
      <c r="G35" s="10">
        <v>9166</v>
      </c>
      <c r="H35" s="10"/>
      <c r="I35" s="10">
        <v>9166</v>
      </c>
      <c r="J35" s="10"/>
      <c r="K35" s="10"/>
      <c r="L35" s="10"/>
      <c r="M35" s="10"/>
      <c r="N35" s="10"/>
      <c r="O35" s="10"/>
      <c r="P35" s="10"/>
      <c r="Q35" s="10"/>
      <c r="R35" s="10">
        <v>9166</v>
      </c>
      <c r="S35" s="10"/>
      <c r="T35" s="10"/>
      <c r="U35" s="10"/>
      <c r="V35" s="10"/>
      <c r="W35" s="10"/>
      <c r="X35" s="10"/>
      <c r="Y35" s="10"/>
      <c r="Z35" s="11">
        <f t="shared" si="17"/>
        <v>9166</v>
      </c>
      <c r="AA35" s="10">
        <f t="shared" si="18"/>
        <v>0</v>
      </c>
      <c r="AB35" s="3"/>
    </row>
    <row r="36" spans="1:28" x14ac:dyDescent="0.25">
      <c r="A36" s="7">
        <v>32</v>
      </c>
      <c r="B36" s="12" t="s">
        <v>413</v>
      </c>
      <c r="C36" s="13">
        <v>45356</v>
      </c>
      <c r="D36" s="13">
        <v>45657</v>
      </c>
      <c r="E36" s="6" t="s">
        <v>280</v>
      </c>
      <c r="F36" s="19" t="s">
        <v>115</v>
      </c>
      <c r="G36" s="10">
        <v>6603.9</v>
      </c>
      <c r="H36" s="10"/>
      <c r="I36" s="10"/>
      <c r="J36" s="10"/>
      <c r="K36" s="10"/>
      <c r="L36" s="10">
        <v>6603.9</v>
      </c>
      <c r="M36" s="10"/>
      <c r="N36" s="10"/>
      <c r="O36" s="10"/>
      <c r="P36" s="10"/>
      <c r="Q36" s="10"/>
      <c r="R36" s="10"/>
      <c r="S36" s="10"/>
      <c r="T36" s="10"/>
      <c r="U36" s="10">
        <v>6603.9</v>
      </c>
      <c r="V36" s="10"/>
      <c r="W36" s="10"/>
      <c r="X36" s="10"/>
      <c r="Y36" s="10"/>
      <c r="Z36" s="11">
        <f t="shared" si="17"/>
        <v>6603.9</v>
      </c>
      <c r="AA36" s="10">
        <f t="shared" si="18"/>
        <v>0</v>
      </c>
      <c r="AB36" s="3"/>
    </row>
    <row r="37" spans="1:28" x14ac:dyDescent="0.25">
      <c r="A37" s="7">
        <v>33</v>
      </c>
      <c r="B37" s="12" t="s">
        <v>414</v>
      </c>
      <c r="C37" s="13">
        <v>45357</v>
      </c>
      <c r="D37" s="13">
        <v>45657</v>
      </c>
      <c r="E37" s="6" t="s">
        <v>93</v>
      </c>
      <c r="F37" s="19" t="s">
        <v>115</v>
      </c>
      <c r="G37" s="10">
        <v>1960</v>
      </c>
      <c r="H37" s="10"/>
      <c r="I37" s="10">
        <v>1960</v>
      </c>
      <c r="J37" s="10"/>
      <c r="K37" s="10"/>
      <c r="L37" s="10"/>
      <c r="M37" s="10"/>
      <c r="N37" s="10"/>
      <c r="O37" s="10"/>
      <c r="P37" s="10"/>
      <c r="Q37" s="10"/>
      <c r="R37" s="10">
        <v>1960</v>
      </c>
      <c r="S37" s="10"/>
      <c r="T37" s="10"/>
      <c r="U37" s="10"/>
      <c r="V37" s="10"/>
      <c r="W37" s="10"/>
      <c r="X37" s="10"/>
      <c r="Y37" s="10"/>
      <c r="Z37" s="11">
        <f t="shared" si="17"/>
        <v>1960</v>
      </c>
      <c r="AA37" s="10">
        <f t="shared" si="18"/>
        <v>0</v>
      </c>
      <c r="AB37" s="3"/>
    </row>
    <row r="38" spans="1:28" x14ac:dyDescent="0.25">
      <c r="A38" s="7">
        <v>34</v>
      </c>
      <c r="B38" s="12" t="s">
        <v>423</v>
      </c>
      <c r="C38" s="13">
        <v>45349</v>
      </c>
      <c r="D38" s="13">
        <v>45657</v>
      </c>
      <c r="E38" s="6" t="s">
        <v>93</v>
      </c>
      <c r="F38" s="19" t="s">
        <v>115</v>
      </c>
      <c r="G38" s="10">
        <v>1290</v>
      </c>
      <c r="H38" s="10">
        <v>1290</v>
      </c>
      <c r="I38" s="10"/>
      <c r="J38" s="10"/>
      <c r="K38" s="10"/>
      <c r="L38" s="10"/>
      <c r="M38" s="10"/>
      <c r="N38" s="10"/>
      <c r="O38" s="10"/>
      <c r="P38" s="10"/>
      <c r="Q38" s="10">
        <v>1290</v>
      </c>
      <c r="R38" s="10"/>
      <c r="S38" s="10"/>
      <c r="T38" s="10"/>
      <c r="U38" s="10"/>
      <c r="V38" s="10"/>
      <c r="W38" s="10"/>
      <c r="X38" s="10"/>
      <c r="Y38" s="10"/>
      <c r="Z38" s="11">
        <f t="shared" si="17"/>
        <v>1290</v>
      </c>
      <c r="AA38" s="10">
        <f t="shared" si="18"/>
        <v>0</v>
      </c>
      <c r="AB38" s="3"/>
    </row>
    <row r="39" spans="1:28" x14ac:dyDescent="0.25">
      <c r="A39" s="7">
        <v>35</v>
      </c>
      <c r="B39" s="12" t="s">
        <v>424</v>
      </c>
      <c r="C39" s="13">
        <v>45362</v>
      </c>
      <c r="D39" s="13">
        <v>45657</v>
      </c>
      <c r="E39" s="6" t="s">
        <v>425</v>
      </c>
      <c r="F39" s="19" t="s">
        <v>426</v>
      </c>
      <c r="G39" s="10">
        <v>1060</v>
      </c>
      <c r="H39" s="10">
        <v>1060</v>
      </c>
      <c r="I39" s="10"/>
      <c r="J39" s="10"/>
      <c r="K39" s="10"/>
      <c r="L39" s="10"/>
      <c r="M39" s="10"/>
      <c r="N39" s="10"/>
      <c r="O39" s="10"/>
      <c r="P39" s="10"/>
      <c r="Q39" s="10">
        <v>1060</v>
      </c>
      <c r="R39" s="10"/>
      <c r="S39" s="10"/>
      <c r="T39" s="10"/>
      <c r="U39" s="10"/>
      <c r="V39" s="10"/>
      <c r="W39" s="10"/>
      <c r="X39" s="10"/>
      <c r="Y39" s="10"/>
      <c r="Z39" s="11">
        <f t="shared" si="17"/>
        <v>1060</v>
      </c>
      <c r="AA39" s="10">
        <f t="shared" si="18"/>
        <v>0</v>
      </c>
      <c r="AB39" s="3"/>
    </row>
    <row r="40" spans="1:28" x14ac:dyDescent="0.25">
      <c r="A40" s="7">
        <v>36</v>
      </c>
      <c r="B40" s="12" t="s">
        <v>429</v>
      </c>
      <c r="C40" s="13">
        <v>45358</v>
      </c>
      <c r="D40" s="13">
        <v>45657</v>
      </c>
      <c r="E40" s="6" t="s">
        <v>127</v>
      </c>
      <c r="F40" s="19" t="s">
        <v>430</v>
      </c>
      <c r="G40" s="10">
        <v>6070</v>
      </c>
      <c r="H40" s="10"/>
      <c r="I40" s="10"/>
      <c r="J40" s="10"/>
      <c r="K40" s="10"/>
      <c r="L40" s="10">
        <v>6070</v>
      </c>
      <c r="M40" s="10"/>
      <c r="N40" s="10"/>
      <c r="O40" s="10"/>
      <c r="P40" s="10"/>
      <c r="Q40" s="10"/>
      <c r="R40" s="10"/>
      <c r="S40" s="10"/>
      <c r="T40" s="10"/>
      <c r="U40" s="10">
        <v>6070</v>
      </c>
      <c r="V40" s="10"/>
      <c r="W40" s="10"/>
      <c r="X40" s="10"/>
      <c r="Y40" s="10"/>
      <c r="Z40" s="11">
        <f t="shared" si="17"/>
        <v>6070</v>
      </c>
      <c r="AA40" s="10">
        <f t="shared" si="18"/>
        <v>0</v>
      </c>
      <c r="AB40" s="3"/>
    </row>
    <row r="41" spans="1:28" x14ac:dyDescent="0.25">
      <c r="A41" s="7">
        <v>37</v>
      </c>
      <c r="B41" s="12" t="s">
        <v>431</v>
      </c>
      <c r="C41" s="13">
        <v>45357</v>
      </c>
      <c r="D41" s="13">
        <v>45657</v>
      </c>
      <c r="E41" s="6" t="s">
        <v>127</v>
      </c>
      <c r="F41" s="19" t="s">
        <v>432</v>
      </c>
      <c r="G41" s="10">
        <v>11784</v>
      </c>
      <c r="H41" s="10"/>
      <c r="I41" s="10"/>
      <c r="J41" s="10"/>
      <c r="K41" s="10"/>
      <c r="L41" s="10">
        <v>11784</v>
      </c>
      <c r="M41" s="10"/>
      <c r="N41" s="10"/>
      <c r="O41" s="10"/>
      <c r="P41" s="10"/>
      <c r="Q41" s="10"/>
      <c r="R41" s="10"/>
      <c r="S41" s="10"/>
      <c r="T41" s="10"/>
      <c r="U41" s="10">
        <v>11784</v>
      </c>
      <c r="V41" s="10"/>
      <c r="W41" s="10"/>
      <c r="X41" s="10"/>
      <c r="Y41" s="10"/>
      <c r="Z41" s="11">
        <f t="shared" si="17"/>
        <v>11784</v>
      </c>
      <c r="AA41" s="10">
        <f t="shared" si="18"/>
        <v>0</v>
      </c>
      <c r="AB41" s="3"/>
    </row>
    <row r="42" spans="1:28" ht="25.5" x14ac:dyDescent="0.25">
      <c r="A42" s="7">
        <v>38</v>
      </c>
      <c r="B42" s="12" t="s">
        <v>291</v>
      </c>
      <c r="C42" s="13">
        <v>45328</v>
      </c>
      <c r="D42" s="13">
        <v>45657</v>
      </c>
      <c r="E42" s="6" t="s">
        <v>463</v>
      </c>
      <c r="F42" s="5" t="s">
        <v>462</v>
      </c>
      <c r="G42" s="10">
        <v>445116</v>
      </c>
      <c r="H42" s="10"/>
      <c r="I42" s="10">
        <v>24835</v>
      </c>
      <c r="J42" s="10"/>
      <c r="K42" s="10"/>
      <c r="L42" s="10"/>
      <c r="M42" s="10"/>
      <c r="N42" s="10"/>
      <c r="O42" s="10"/>
      <c r="P42" s="10">
        <f>45420+49670+74505+49670+74505+49670</f>
        <v>343440</v>
      </c>
      <c r="Q42" s="10"/>
      <c r="R42" s="10">
        <v>24835</v>
      </c>
      <c r="S42" s="10"/>
      <c r="T42" s="10"/>
      <c r="U42" s="10"/>
      <c r="V42" s="10"/>
      <c r="W42" s="10"/>
      <c r="X42" s="10"/>
      <c r="Y42" s="10">
        <f>45420+49670+74505+49670+74505+49670</f>
        <v>343440</v>
      </c>
      <c r="Z42" s="11">
        <f t="shared" si="17"/>
        <v>368275</v>
      </c>
      <c r="AA42" s="10">
        <f t="shared" si="18"/>
        <v>76841</v>
      </c>
      <c r="AB42" s="3"/>
    </row>
    <row r="43" spans="1:28" ht="39" customHeight="1" x14ac:dyDescent="0.25">
      <c r="A43" s="7">
        <v>39</v>
      </c>
      <c r="B43" s="12" t="s">
        <v>244</v>
      </c>
      <c r="C43" s="13">
        <v>45362</v>
      </c>
      <c r="D43" s="13">
        <v>45657</v>
      </c>
      <c r="E43" s="6" t="s">
        <v>474</v>
      </c>
      <c r="F43" s="19" t="s">
        <v>475</v>
      </c>
      <c r="G43" s="10">
        <v>2565.62</v>
      </c>
      <c r="H43" s="10">
        <v>2565.62</v>
      </c>
      <c r="I43" s="10"/>
      <c r="J43" s="10"/>
      <c r="K43" s="10"/>
      <c r="L43" s="10"/>
      <c r="M43" s="10"/>
      <c r="N43" s="10"/>
      <c r="O43" s="10"/>
      <c r="P43" s="10"/>
      <c r="Q43" s="10">
        <v>2565.62</v>
      </c>
      <c r="R43" s="10"/>
      <c r="S43" s="10"/>
      <c r="T43" s="10"/>
      <c r="U43" s="10"/>
      <c r="V43" s="10"/>
      <c r="W43" s="10"/>
      <c r="X43" s="10"/>
      <c r="Y43" s="10"/>
      <c r="Z43" s="11">
        <f t="shared" si="17"/>
        <v>2565.62</v>
      </c>
      <c r="AA43" s="10">
        <f t="shared" si="18"/>
        <v>0</v>
      </c>
      <c r="AB43" s="3"/>
    </row>
    <row r="44" spans="1:28" ht="17.25" customHeight="1" x14ac:dyDescent="0.25">
      <c r="A44" s="7">
        <v>40</v>
      </c>
      <c r="B44" s="12" t="s">
        <v>483</v>
      </c>
      <c r="C44" s="13">
        <v>45344</v>
      </c>
      <c r="D44" s="13">
        <v>45657</v>
      </c>
      <c r="E44" s="6" t="s">
        <v>199</v>
      </c>
      <c r="F44" s="5" t="s">
        <v>202</v>
      </c>
      <c r="G44" s="10">
        <v>7042</v>
      </c>
      <c r="H44" s="10"/>
      <c r="I44" s="10"/>
      <c r="J44" s="10"/>
      <c r="K44" s="10"/>
      <c r="L44" s="10"/>
      <c r="M44" s="10"/>
      <c r="N44" s="10"/>
      <c r="O44" s="10"/>
      <c r="P44" s="10">
        <f>962+6080</f>
        <v>7042</v>
      </c>
      <c r="Q44" s="10"/>
      <c r="R44" s="10"/>
      <c r="S44" s="10"/>
      <c r="T44" s="10"/>
      <c r="U44" s="10"/>
      <c r="V44" s="10"/>
      <c r="W44" s="10"/>
      <c r="X44" s="10"/>
      <c r="Y44" s="10">
        <f>962+6080</f>
        <v>7042</v>
      </c>
      <c r="Z44" s="11">
        <f t="shared" si="17"/>
        <v>7042</v>
      </c>
      <c r="AA44" s="10">
        <f t="shared" si="18"/>
        <v>0</v>
      </c>
      <c r="AB44" s="3"/>
    </row>
    <row r="45" spans="1:28" ht="17.25" customHeight="1" x14ac:dyDescent="0.25">
      <c r="A45" s="7">
        <v>41</v>
      </c>
      <c r="B45" s="12" t="s">
        <v>484</v>
      </c>
      <c r="C45" s="13">
        <v>45357</v>
      </c>
      <c r="D45" s="13">
        <v>45657</v>
      </c>
      <c r="E45" s="6" t="s">
        <v>199</v>
      </c>
      <c r="F45" s="5" t="s">
        <v>202</v>
      </c>
      <c r="G45" s="10">
        <v>6350</v>
      </c>
      <c r="H45" s="10">
        <v>6350</v>
      </c>
      <c r="I45" s="10"/>
      <c r="J45" s="10"/>
      <c r="K45" s="10"/>
      <c r="L45" s="10"/>
      <c r="M45" s="10"/>
      <c r="N45" s="10"/>
      <c r="O45" s="10"/>
      <c r="P45" s="10"/>
      <c r="Q45" s="10">
        <v>6350</v>
      </c>
      <c r="R45" s="10"/>
      <c r="S45" s="10"/>
      <c r="T45" s="10"/>
      <c r="U45" s="10"/>
      <c r="V45" s="10"/>
      <c r="W45" s="10"/>
      <c r="X45" s="10"/>
      <c r="Y45" s="10"/>
      <c r="Z45" s="11">
        <f t="shared" si="17"/>
        <v>6350</v>
      </c>
      <c r="AA45" s="10">
        <f t="shared" si="18"/>
        <v>0</v>
      </c>
      <c r="AB45" s="3"/>
    </row>
    <row r="46" spans="1:28" ht="17.25" customHeight="1" x14ac:dyDescent="0.25">
      <c r="A46" s="7">
        <v>42</v>
      </c>
      <c r="B46" s="12" t="s">
        <v>485</v>
      </c>
      <c r="C46" s="13">
        <v>45358</v>
      </c>
      <c r="D46" s="13">
        <v>45657</v>
      </c>
      <c r="E46" s="6" t="s">
        <v>199</v>
      </c>
      <c r="F46" s="5" t="s">
        <v>486</v>
      </c>
      <c r="G46" s="10">
        <v>14100</v>
      </c>
      <c r="H46" s="10"/>
      <c r="I46" s="10"/>
      <c r="J46" s="10"/>
      <c r="K46" s="10"/>
      <c r="L46" s="10"/>
      <c r="M46" s="10"/>
      <c r="N46" s="10"/>
      <c r="O46" s="10"/>
      <c r="P46" s="10">
        <v>14100</v>
      </c>
      <c r="Q46" s="10"/>
      <c r="R46" s="10"/>
      <c r="S46" s="10"/>
      <c r="T46" s="10"/>
      <c r="U46" s="10"/>
      <c r="V46" s="10"/>
      <c r="W46" s="10"/>
      <c r="X46" s="10"/>
      <c r="Y46" s="10">
        <v>14100</v>
      </c>
      <c r="Z46" s="11">
        <f t="shared" si="17"/>
        <v>14100</v>
      </c>
      <c r="AA46" s="10">
        <f t="shared" si="18"/>
        <v>0</v>
      </c>
      <c r="AB46" s="3"/>
    </row>
    <row r="47" spans="1:28" ht="17.25" customHeight="1" x14ac:dyDescent="0.25">
      <c r="A47" s="7">
        <v>43</v>
      </c>
      <c r="B47" s="12" t="s">
        <v>215</v>
      </c>
      <c r="C47" s="13">
        <v>45364</v>
      </c>
      <c r="D47" s="13">
        <v>45657</v>
      </c>
      <c r="E47" s="6" t="s">
        <v>517</v>
      </c>
      <c r="F47" s="5" t="s">
        <v>518</v>
      </c>
      <c r="G47" s="10">
        <v>1800</v>
      </c>
      <c r="H47" s="10">
        <v>1800</v>
      </c>
      <c r="I47" s="10"/>
      <c r="J47" s="10"/>
      <c r="K47" s="10"/>
      <c r="L47" s="10"/>
      <c r="M47" s="10"/>
      <c r="N47" s="10"/>
      <c r="O47" s="10"/>
      <c r="P47" s="10"/>
      <c r="Q47" s="10">
        <v>1800</v>
      </c>
      <c r="R47" s="10"/>
      <c r="S47" s="10"/>
      <c r="T47" s="10"/>
      <c r="U47" s="10"/>
      <c r="V47" s="10"/>
      <c r="W47" s="10"/>
      <c r="X47" s="10"/>
      <c r="Y47" s="10"/>
      <c r="Z47" s="11">
        <f t="shared" si="17"/>
        <v>1800</v>
      </c>
      <c r="AA47" s="10">
        <f t="shared" si="18"/>
        <v>0</v>
      </c>
      <c r="AB47" s="3"/>
    </row>
    <row r="48" spans="1:28" ht="17.25" customHeight="1" x14ac:dyDescent="0.25">
      <c r="A48" s="7">
        <v>44</v>
      </c>
      <c r="B48" s="12" t="s">
        <v>519</v>
      </c>
      <c r="C48" s="13">
        <v>45364</v>
      </c>
      <c r="D48" s="13">
        <v>45657</v>
      </c>
      <c r="E48" s="6" t="s">
        <v>38</v>
      </c>
      <c r="F48" s="5" t="s">
        <v>520</v>
      </c>
      <c r="G48" s="10">
        <v>434.73</v>
      </c>
      <c r="H48" s="10">
        <v>434.73</v>
      </c>
      <c r="I48" s="10"/>
      <c r="J48" s="10"/>
      <c r="K48" s="10"/>
      <c r="L48" s="10"/>
      <c r="M48" s="10"/>
      <c r="N48" s="10"/>
      <c r="O48" s="10"/>
      <c r="P48" s="10"/>
      <c r="Q48" s="10">
        <v>434.73</v>
      </c>
      <c r="R48" s="10"/>
      <c r="S48" s="10"/>
      <c r="T48" s="10"/>
      <c r="U48" s="10"/>
      <c r="V48" s="10"/>
      <c r="W48" s="10"/>
      <c r="X48" s="10"/>
      <c r="Y48" s="10"/>
      <c r="Z48" s="11">
        <f t="shared" si="17"/>
        <v>434.73</v>
      </c>
      <c r="AA48" s="10">
        <f t="shared" si="18"/>
        <v>0</v>
      </c>
      <c r="AB48" s="3"/>
    </row>
    <row r="49" spans="1:28" ht="26.25" customHeight="1" x14ac:dyDescent="0.25">
      <c r="A49" s="7">
        <v>45</v>
      </c>
      <c r="B49" s="12" t="s">
        <v>521</v>
      </c>
      <c r="C49" s="13">
        <v>45366</v>
      </c>
      <c r="D49" s="13">
        <v>45657</v>
      </c>
      <c r="E49" s="6" t="s">
        <v>256</v>
      </c>
      <c r="F49" s="5" t="s">
        <v>522</v>
      </c>
      <c r="G49" s="10">
        <v>5921.89</v>
      </c>
      <c r="H49" s="10"/>
      <c r="I49" s="10">
        <v>5921.89</v>
      </c>
      <c r="J49" s="10"/>
      <c r="K49" s="10"/>
      <c r="L49" s="10"/>
      <c r="M49" s="10"/>
      <c r="N49" s="10"/>
      <c r="O49" s="10"/>
      <c r="P49" s="10"/>
      <c r="Q49" s="10"/>
      <c r="R49" s="10">
        <v>5921.89</v>
      </c>
      <c r="S49" s="10"/>
      <c r="T49" s="10"/>
      <c r="U49" s="10"/>
      <c r="V49" s="10"/>
      <c r="W49" s="10"/>
      <c r="X49" s="10"/>
      <c r="Y49" s="10"/>
      <c r="Z49" s="11">
        <f t="shared" si="17"/>
        <v>5921.89</v>
      </c>
      <c r="AA49" s="10">
        <f t="shared" si="18"/>
        <v>0</v>
      </c>
      <c r="AB49" s="3"/>
    </row>
    <row r="50" spans="1:28" ht="17.25" customHeight="1" x14ac:dyDescent="0.25">
      <c r="A50" s="7">
        <v>46</v>
      </c>
      <c r="B50" s="12" t="s">
        <v>543</v>
      </c>
      <c r="C50" s="13">
        <v>45369</v>
      </c>
      <c r="D50" s="13">
        <v>45657</v>
      </c>
      <c r="E50" s="6" t="s">
        <v>280</v>
      </c>
      <c r="F50" s="5" t="s">
        <v>115</v>
      </c>
      <c r="G50" s="10">
        <v>11298.4</v>
      </c>
      <c r="H50" s="10"/>
      <c r="I50" s="10"/>
      <c r="J50" s="10"/>
      <c r="K50" s="10"/>
      <c r="L50" s="10">
        <v>11298.4</v>
      </c>
      <c r="M50" s="10"/>
      <c r="N50" s="10"/>
      <c r="O50" s="10"/>
      <c r="P50" s="10"/>
      <c r="Q50" s="10"/>
      <c r="R50" s="10"/>
      <c r="S50" s="10"/>
      <c r="T50" s="10"/>
      <c r="U50" s="10">
        <v>11298.4</v>
      </c>
      <c r="V50" s="10"/>
      <c r="W50" s="10"/>
      <c r="X50" s="10"/>
      <c r="Y50" s="10"/>
      <c r="Z50" s="11">
        <f t="shared" si="17"/>
        <v>11298.4</v>
      </c>
      <c r="AA50" s="10">
        <f t="shared" si="18"/>
        <v>0</v>
      </c>
      <c r="AB50" s="3"/>
    </row>
    <row r="51" spans="1:28" ht="27" customHeight="1" x14ac:dyDescent="0.25">
      <c r="A51" s="7">
        <v>47</v>
      </c>
      <c r="B51" s="12" t="s">
        <v>547</v>
      </c>
      <c r="C51" s="13">
        <v>45366</v>
      </c>
      <c r="D51" s="13">
        <v>45657</v>
      </c>
      <c r="E51" s="6" t="s">
        <v>256</v>
      </c>
      <c r="F51" s="5" t="s">
        <v>548</v>
      </c>
      <c r="G51" s="10">
        <v>2051</v>
      </c>
      <c r="H51" s="10">
        <f>1151+900</f>
        <v>2051</v>
      </c>
      <c r="I51" s="10"/>
      <c r="J51" s="10"/>
      <c r="K51" s="10"/>
      <c r="L51" s="10"/>
      <c r="M51" s="10"/>
      <c r="N51" s="10"/>
      <c r="O51" s="10"/>
      <c r="P51" s="10"/>
      <c r="Q51" s="10">
        <f>1151+900</f>
        <v>2051</v>
      </c>
      <c r="R51" s="10"/>
      <c r="S51" s="10"/>
      <c r="T51" s="10"/>
      <c r="U51" s="10"/>
      <c r="V51" s="10"/>
      <c r="W51" s="10"/>
      <c r="X51" s="10"/>
      <c r="Y51" s="10"/>
      <c r="Z51" s="11">
        <f t="shared" si="17"/>
        <v>2051</v>
      </c>
      <c r="AA51" s="10">
        <f t="shared" si="18"/>
        <v>0</v>
      </c>
      <c r="AB51" s="3"/>
    </row>
    <row r="52" spans="1:28" ht="17.25" customHeight="1" x14ac:dyDescent="0.25">
      <c r="A52" s="7">
        <v>48</v>
      </c>
      <c r="B52" s="12" t="s">
        <v>550</v>
      </c>
      <c r="C52" s="13">
        <v>45372</v>
      </c>
      <c r="D52" s="13">
        <v>45657</v>
      </c>
      <c r="E52" s="6" t="s">
        <v>93</v>
      </c>
      <c r="F52" s="5" t="s">
        <v>115</v>
      </c>
      <c r="G52" s="10">
        <v>4533</v>
      </c>
      <c r="H52" s="10">
        <v>4533</v>
      </c>
      <c r="I52" s="10"/>
      <c r="J52" s="10"/>
      <c r="K52" s="10"/>
      <c r="L52" s="10"/>
      <c r="M52" s="10"/>
      <c r="N52" s="10"/>
      <c r="O52" s="10"/>
      <c r="P52" s="10"/>
      <c r="Q52" s="10">
        <v>4533</v>
      </c>
      <c r="R52" s="10"/>
      <c r="S52" s="10"/>
      <c r="T52" s="10"/>
      <c r="U52" s="10"/>
      <c r="V52" s="10"/>
      <c r="W52" s="10"/>
      <c r="X52" s="10"/>
      <c r="Y52" s="10"/>
      <c r="Z52" s="11">
        <f t="shared" si="17"/>
        <v>4533</v>
      </c>
      <c r="AA52" s="10">
        <f t="shared" si="18"/>
        <v>0</v>
      </c>
      <c r="AB52" s="3"/>
    </row>
    <row r="53" spans="1:28" ht="27" customHeight="1" x14ac:dyDescent="0.25">
      <c r="A53" s="7">
        <v>49</v>
      </c>
      <c r="B53" s="12" t="s">
        <v>555</v>
      </c>
      <c r="C53" s="13">
        <v>45372</v>
      </c>
      <c r="D53" s="13">
        <v>45657</v>
      </c>
      <c r="E53" s="6" t="s">
        <v>565</v>
      </c>
      <c r="F53" s="5" t="s">
        <v>566</v>
      </c>
      <c r="G53" s="10">
        <v>60000</v>
      </c>
      <c r="H53" s="10"/>
      <c r="I53" s="10"/>
      <c r="J53" s="10"/>
      <c r="K53" s="10"/>
      <c r="L53" s="10"/>
      <c r="M53" s="10"/>
      <c r="N53" s="10"/>
      <c r="O53" s="10"/>
      <c r="P53" s="10">
        <v>60000</v>
      </c>
      <c r="Q53" s="10"/>
      <c r="R53" s="10"/>
      <c r="S53" s="10"/>
      <c r="T53" s="10"/>
      <c r="U53" s="10"/>
      <c r="V53" s="10"/>
      <c r="W53" s="10"/>
      <c r="X53" s="10"/>
      <c r="Y53" s="10">
        <v>60000</v>
      </c>
      <c r="Z53" s="11">
        <f t="shared" si="17"/>
        <v>60000</v>
      </c>
      <c r="AA53" s="10">
        <f t="shared" si="18"/>
        <v>0</v>
      </c>
      <c r="AB53" s="3"/>
    </row>
    <row r="54" spans="1:28" ht="18.75" customHeight="1" x14ac:dyDescent="0.25">
      <c r="A54" s="7">
        <v>50</v>
      </c>
      <c r="B54" s="12" t="s">
        <v>567</v>
      </c>
      <c r="C54" s="13">
        <v>45364</v>
      </c>
      <c r="D54" s="13">
        <v>45657</v>
      </c>
      <c r="E54" s="6" t="s">
        <v>199</v>
      </c>
      <c r="F54" s="5" t="s">
        <v>202</v>
      </c>
      <c r="G54" s="10">
        <v>1349</v>
      </c>
      <c r="H54" s="10"/>
      <c r="I54" s="10"/>
      <c r="J54" s="10"/>
      <c r="K54" s="10"/>
      <c r="L54" s="10"/>
      <c r="M54" s="10"/>
      <c r="N54" s="10"/>
      <c r="O54" s="10"/>
      <c r="P54" s="10">
        <f>1160+189</f>
        <v>1349</v>
      </c>
      <c r="Q54" s="10"/>
      <c r="R54" s="10"/>
      <c r="S54" s="10"/>
      <c r="T54" s="10"/>
      <c r="U54" s="10"/>
      <c r="V54" s="10"/>
      <c r="W54" s="10"/>
      <c r="X54" s="10"/>
      <c r="Y54" s="10">
        <f>1160+189</f>
        <v>1349</v>
      </c>
      <c r="Z54" s="11">
        <f t="shared" si="17"/>
        <v>1349</v>
      </c>
      <c r="AA54" s="10">
        <f t="shared" si="18"/>
        <v>0</v>
      </c>
      <c r="AB54" s="3"/>
    </row>
    <row r="55" spans="1:28" ht="18.75" customHeight="1" x14ac:dyDescent="0.25">
      <c r="A55" s="7">
        <v>51</v>
      </c>
      <c r="B55" s="12" t="s">
        <v>333</v>
      </c>
      <c r="C55" s="13">
        <v>45364</v>
      </c>
      <c r="D55" s="13">
        <v>45657</v>
      </c>
      <c r="E55" s="6" t="s">
        <v>199</v>
      </c>
      <c r="F55" s="5" t="s">
        <v>486</v>
      </c>
      <c r="G55" s="10">
        <v>2675</v>
      </c>
      <c r="H55" s="10"/>
      <c r="I55" s="10"/>
      <c r="J55" s="10"/>
      <c r="K55" s="10"/>
      <c r="L55" s="10"/>
      <c r="M55" s="10"/>
      <c r="N55" s="10"/>
      <c r="O55" s="10"/>
      <c r="P55" s="10">
        <v>2675</v>
      </c>
      <c r="Q55" s="10"/>
      <c r="R55" s="10"/>
      <c r="S55" s="10"/>
      <c r="T55" s="10"/>
      <c r="U55" s="10"/>
      <c r="V55" s="10"/>
      <c r="W55" s="10"/>
      <c r="X55" s="10"/>
      <c r="Y55" s="10">
        <v>2675</v>
      </c>
      <c r="Z55" s="11">
        <f t="shared" si="17"/>
        <v>2675</v>
      </c>
      <c r="AA55" s="10">
        <f t="shared" si="18"/>
        <v>0</v>
      </c>
      <c r="AB55" s="3"/>
    </row>
    <row r="56" spans="1:28" ht="18.75" customHeight="1" x14ac:dyDescent="0.25">
      <c r="A56" s="7">
        <v>52</v>
      </c>
      <c r="B56" s="12" t="s">
        <v>596</v>
      </c>
      <c r="C56" s="13">
        <v>45377</v>
      </c>
      <c r="D56" s="13">
        <v>45657</v>
      </c>
      <c r="E56" s="6" t="s">
        <v>597</v>
      </c>
      <c r="F56" s="5" t="s">
        <v>598</v>
      </c>
      <c r="G56" s="10">
        <v>11517</v>
      </c>
      <c r="H56" s="10"/>
      <c r="I56" s="10">
        <v>11517</v>
      </c>
      <c r="J56" s="10"/>
      <c r="K56" s="10"/>
      <c r="L56" s="10"/>
      <c r="M56" s="10"/>
      <c r="N56" s="10"/>
      <c r="O56" s="10"/>
      <c r="P56" s="10"/>
      <c r="Q56" s="10"/>
      <c r="R56" s="10">
        <v>11517</v>
      </c>
      <c r="S56" s="10"/>
      <c r="T56" s="10"/>
      <c r="U56" s="10"/>
      <c r="V56" s="10"/>
      <c r="W56" s="10"/>
      <c r="X56" s="10"/>
      <c r="Y56" s="10"/>
      <c r="Z56" s="11">
        <f t="shared" si="17"/>
        <v>11517</v>
      </c>
      <c r="AA56" s="10">
        <f t="shared" si="18"/>
        <v>0</v>
      </c>
      <c r="AB56" s="3"/>
    </row>
    <row r="57" spans="1:28" ht="24" customHeight="1" x14ac:dyDescent="0.25">
      <c r="A57" s="7">
        <v>53</v>
      </c>
      <c r="B57" s="12" t="s">
        <v>602</v>
      </c>
      <c r="C57" s="13">
        <v>45377</v>
      </c>
      <c r="D57" s="13">
        <v>45657</v>
      </c>
      <c r="E57" s="6" t="s">
        <v>603</v>
      </c>
      <c r="F57" s="5" t="s">
        <v>604</v>
      </c>
      <c r="G57" s="10">
        <v>26642.69</v>
      </c>
      <c r="H57" s="10">
        <v>26642.69</v>
      </c>
      <c r="I57" s="10"/>
      <c r="J57" s="10"/>
      <c r="K57" s="10"/>
      <c r="L57" s="10"/>
      <c r="M57" s="10"/>
      <c r="N57" s="10"/>
      <c r="O57" s="10"/>
      <c r="P57" s="10"/>
      <c r="Q57" s="10">
        <v>26642.69</v>
      </c>
      <c r="R57" s="10"/>
      <c r="S57" s="10"/>
      <c r="T57" s="10"/>
      <c r="U57" s="10"/>
      <c r="V57" s="10"/>
      <c r="W57" s="10"/>
      <c r="X57" s="10"/>
      <c r="Y57" s="10"/>
      <c r="Z57" s="11">
        <f t="shared" si="17"/>
        <v>26642.69</v>
      </c>
      <c r="AA57" s="10">
        <f t="shared" si="18"/>
        <v>0</v>
      </c>
      <c r="AB57" s="3"/>
    </row>
    <row r="58" spans="1:28" ht="18" customHeight="1" x14ac:dyDescent="0.25">
      <c r="A58" s="7">
        <v>54</v>
      </c>
      <c r="B58" s="12" t="s">
        <v>606</v>
      </c>
      <c r="C58" s="13">
        <v>45377</v>
      </c>
      <c r="D58" s="13">
        <v>45657</v>
      </c>
      <c r="E58" s="6" t="s">
        <v>214</v>
      </c>
      <c r="F58" s="5" t="s">
        <v>115</v>
      </c>
      <c r="G58" s="10">
        <v>7144.5</v>
      </c>
      <c r="H58" s="10"/>
      <c r="I58" s="10">
        <f>4733.5+2411</f>
        <v>7144.5</v>
      </c>
      <c r="J58" s="10"/>
      <c r="K58" s="10"/>
      <c r="L58" s="10"/>
      <c r="M58" s="10"/>
      <c r="N58" s="10"/>
      <c r="O58" s="10"/>
      <c r="P58" s="10"/>
      <c r="Q58" s="10"/>
      <c r="R58" s="10">
        <f>4733.5+2411</f>
        <v>7144.5</v>
      </c>
      <c r="S58" s="10"/>
      <c r="T58" s="10"/>
      <c r="U58" s="10"/>
      <c r="V58" s="10"/>
      <c r="W58" s="10"/>
      <c r="X58" s="10"/>
      <c r="Y58" s="10"/>
      <c r="Z58" s="11">
        <f t="shared" si="17"/>
        <v>7144.5</v>
      </c>
      <c r="AA58" s="10">
        <f t="shared" si="18"/>
        <v>0</v>
      </c>
      <c r="AB58" s="3"/>
    </row>
    <row r="59" spans="1:28" ht="18" customHeight="1" x14ac:dyDescent="0.25">
      <c r="A59" s="7">
        <v>55</v>
      </c>
      <c r="B59" s="12" t="s">
        <v>608</v>
      </c>
      <c r="C59" s="13">
        <v>45379</v>
      </c>
      <c r="D59" s="13">
        <v>45657</v>
      </c>
      <c r="E59" s="6" t="s">
        <v>38</v>
      </c>
      <c r="F59" s="5" t="s">
        <v>115</v>
      </c>
      <c r="G59" s="10">
        <v>4710.3</v>
      </c>
      <c r="H59" s="10"/>
      <c r="I59" s="10">
        <v>4710.3</v>
      </c>
      <c r="J59" s="10"/>
      <c r="K59" s="10"/>
      <c r="L59" s="10"/>
      <c r="M59" s="10"/>
      <c r="N59" s="10"/>
      <c r="O59" s="10"/>
      <c r="P59" s="10"/>
      <c r="Q59" s="10"/>
      <c r="R59" s="10">
        <v>4710.3</v>
      </c>
      <c r="S59" s="10"/>
      <c r="T59" s="10"/>
      <c r="U59" s="10"/>
      <c r="V59" s="10"/>
      <c r="W59" s="10"/>
      <c r="X59" s="10"/>
      <c r="Y59" s="10"/>
      <c r="Z59" s="11">
        <f t="shared" si="17"/>
        <v>4710.3</v>
      </c>
      <c r="AA59" s="10">
        <f t="shared" si="18"/>
        <v>0</v>
      </c>
      <c r="AB59" s="3"/>
    </row>
    <row r="60" spans="1:28" ht="25.5" customHeight="1" x14ac:dyDescent="0.25">
      <c r="A60" s="7">
        <v>56</v>
      </c>
      <c r="B60" s="12" t="s">
        <v>623</v>
      </c>
      <c r="C60" s="13">
        <v>45384</v>
      </c>
      <c r="D60" s="13">
        <v>45657</v>
      </c>
      <c r="E60" s="6" t="s">
        <v>624</v>
      </c>
      <c r="F60" s="5" t="s">
        <v>626</v>
      </c>
      <c r="G60" s="10">
        <v>95950</v>
      </c>
      <c r="H60" s="10"/>
      <c r="I60" s="10"/>
      <c r="J60" s="10"/>
      <c r="K60" s="10"/>
      <c r="L60" s="10"/>
      <c r="M60" s="10">
        <v>95950</v>
      </c>
      <c r="N60" s="10"/>
      <c r="O60" s="10"/>
      <c r="P60" s="10"/>
      <c r="Q60" s="10"/>
      <c r="R60" s="10"/>
      <c r="S60" s="10"/>
      <c r="T60" s="10"/>
      <c r="U60" s="10"/>
      <c r="V60" s="10">
        <v>95950</v>
      </c>
      <c r="W60" s="10"/>
      <c r="X60" s="10"/>
      <c r="Y60" s="10"/>
      <c r="Z60" s="11">
        <f t="shared" si="17"/>
        <v>95950</v>
      </c>
      <c r="AA60" s="10">
        <f t="shared" si="18"/>
        <v>0</v>
      </c>
      <c r="AB60" s="3"/>
    </row>
    <row r="61" spans="1:28" ht="41.25" customHeight="1" x14ac:dyDescent="0.25">
      <c r="A61" s="7">
        <v>57</v>
      </c>
      <c r="B61" s="12" t="s">
        <v>625</v>
      </c>
      <c r="C61" s="13">
        <v>45384</v>
      </c>
      <c r="D61" s="13">
        <v>45657</v>
      </c>
      <c r="E61" s="6" t="s">
        <v>624</v>
      </c>
      <c r="F61" s="5" t="s">
        <v>627</v>
      </c>
      <c r="G61" s="10">
        <v>80700</v>
      </c>
      <c r="H61" s="10"/>
      <c r="I61" s="10"/>
      <c r="J61" s="10"/>
      <c r="K61" s="10"/>
      <c r="L61" s="10"/>
      <c r="M61" s="10">
        <v>80700</v>
      </c>
      <c r="N61" s="10"/>
      <c r="O61" s="10"/>
      <c r="P61" s="10"/>
      <c r="Q61" s="10"/>
      <c r="R61" s="10"/>
      <c r="S61" s="10"/>
      <c r="T61" s="10"/>
      <c r="U61" s="10"/>
      <c r="V61" s="10">
        <v>80700</v>
      </c>
      <c r="W61" s="10"/>
      <c r="X61" s="10"/>
      <c r="Y61" s="10"/>
      <c r="Z61" s="11">
        <f t="shared" si="17"/>
        <v>80700</v>
      </c>
      <c r="AA61" s="10">
        <f t="shared" si="18"/>
        <v>0</v>
      </c>
      <c r="AB61" s="3"/>
    </row>
    <row r="62" spans="1:28" ht="27.75" customHeight="1" x14ac:dyDescent="0.25">
      <c r="A62" s="7">
        <v>58</v>
      </c>
      <c r="B62" s="12" t="s">
        <v>628</v>
      </c>
      <c r="C62" s="13">
        <v>45385</v>
      </c>
      <c r="D62" s="13">
        <v>45657</v>
      </c>
      <c r="E62" s="6" t="s">
        <v>624</v>
      </c>
      <c r="F62" s="5" t="s">
        <v>629</v>
      </c>
      <c r="G62" s="10">
        <v>12400</v>
      </c>
      <c r="H62" s="10"/>
      <c r="I62" s="10"/>
      <c r="J62" s="10"/>
      <c r="K62" s="10"/>
      <c r="L62" s="10"/>
      <c r="M62" s="10">
        <v>12400</v>
      </c>
      <c r="N62" s="10"/>
      <c r="O62" s="10"/>
      <c r="P62" s="10"/>
      <c r="Q62" s="10"/>
      <c r="R62" s="10"/>
      <c r="S62" s="10"/>
      <c r="T62" s="10"/>
      <c r="U62" s="10"/>
      <c r="V62" s="10">
        <v>12400</v>
      </c>
      <c r="W62" s="10"/>
      <c r="X62" s="10"/>
      <c r="Y62" s="10"/>
      <c r="Z62" s="11">
        <f t="shared" si="17"/>
        <v>12400</v>
      </c>
      <c r="AA62" s="10">
        <f t="shared" si="18"/>
        <v>0</v>
      </c>
      <c r="AB62" s="3"/>
    </row>
    <row r="63" spans="1:28" ht="39" customHeight="1" x14ac:dyDescent="0.25">
      <c r="A63" s="7">
        <v>59</v>
      </c>
      <c r="B63" s="12" t="s">
        <v>630</v>
      </c>
      <c r="C63" s="13">
        <v>45385</v>
      </c>
      <c r="D63" s="13">
        <v>45657</v>
      </c>
      <c r="E63" s="6" t="s">
        <v>624</v>
      </c>
      <c r="F63" s="5" t="s">
        <v>631</v>
      </c>
      <c r="G63" s="10">
        <v>7830</v>
      </c>
      <c r="H63" s="10"/>
      <c r="I63" s="10"/>
      <c r="J63" s="10"/>
      <c r="K63" s="10"/>
      <c r="L63" s="10"/>
      <c r="M63" s="10">
        <v>7830</v>
      </c>
      <c r="N63" s="10"/>
      <c r="O63" s="10"/>
      <c r="P63" s="10"/>
      <c r="Q63" s="10"/>
      <c r="R63" s="10"/>
      <c r="S63" s="10"/>
      <c r="T63" s="10"/>
      <c r="U63" s="10"/>
      <c r="V63" s="10">
        <v>7830</v>
      </c>
      <c r="W63" s="10"/>
      <c r="X63" s="10"/>
      <c r="Y63" s="10"/>
      <c r="Z63" s="11">
        <f t="shared" si="17"/>
        <v>7830</v>
      </c>
      <c r="AA63" s="10">
        <f t="shared" si="18"/>
        <v>0</v>
      </c>
      <c r="AB63" s="3"/>
    </row>
    <row r="64" spans="1:28" ht="39" customHeight="1" x14ac:dyDescent="0.25">
      <c r="A64" s="7">
        <v>60</v>
      </c>
      <c r="B64" s="12" t="s">
        <v>632</v>
      </c>
      <c r="C64" s="13">
        <v>45385</v>
      </c>
      <c r="D64" s="13">
        <v>45657</v>
      </c>
      <c r="E64" s="6" t="s">
        <v>624</v>
      </c>
      <c r="F64" s="5" t="s">
        <v>633</v>
      </c>
      <c r="G64" s="10">
        <v>82197</v>
      </c>
      <c r="H64" s="10"/>
      <c r="I64" s="10"/>
      <c r="J64" s="10"/>
      <c r="K64" s="10"/>
      <c r="L64" s="10"/>
      <c r="M64" s="10">
        <v>82197</v>
      </c>
      <c r="N64" s="10"/>
      <c r="O64" s="10"/>
      <c r="P64" s="10"/>
      <c r="Q64" s="10"/>
      <c r="R64" s="10"/>
      <c r="S64" s="10"/>
      <c r="T64" s="10"/>
      <c r="U64" s="10"/>
      <c r="V64" s="10">
        <v>82197</v>
      </c>
      <c r="W64" s="10"/>
      <c r="X64" s="10"/>
      <c r="Y64" s="10"/>
      <c r="Z64" s="11">
        <f t="shared" si="17"/>
        <v>82197</v>
      </c>
      <c r="AA64" s="10">
        <f t="shared" si="18"/>
        <v>0</v>
      </c>
      <c r="AB64" s="3"/>
    </row>
    <row r="65" spans="1:28" ht="25.5" customHeight="1" x14ac:dyDescent="0.25">
      <c r="A65" s="7">
        <v>61</v>
      </c>
      <c r="B65" s="12" t="s">
        <v>634</v>
      </c>
      <c r="C65" s="13">
        <v>45385</v>
      </c>
      <c r="D65" s="13">
        <v>45657</v>
      </c>
      <c r="E65" s="6" t="s">
        <v>624</v>
      </c>
      <c r="F65" s="5" t="s">
        <v>635</v>
      </c>
      <c r="G65" s="10">
        <v>62785</v>
      </c>
      <c r="H65" s="10"/>
      <c r="I65" s="10"/>
      <c r="J65" s="10"/>
      <c r="K65" s="10"/>
      <c r="L65" s="10"/>
      <c r="M65" s="10">
        <v>62785</v>
      </c>
      <c r="N65" s="10"/>
      <c r="O65" s="10"/>
      <c r="P65" s="10"/>
      <c r="Q65" s="10"/>
      <c r="R65" s="10"/>
      <c r="S65" s="10"/>
      <c r="T65" s="10"/>
      <c r="U65" s="10"/>
      <c r="V65" s="10">
        <v>62785</v>
      </c>
      <c r="W65" s="10"/>
      <c r="X65" s="10"/>
      <c r="Y65" s="10"/>
      <c r="Z65" s="11">
        <f t="shared" si="17"/>
        <v>62785</v>
      </c>
      <c r="AA65" s="10">
        <f t="shared" si="18"/>
        <v>0</v>
      </c>
      <c r="AB65" s="3"/>
    </row>
    <row r="66" spans="1:28" ht="25.5" customHeight="1" x14ac:dyDescent="0.25">
      <c r="A66" s="7">
        <v>62</v>
      </c>
      <c r="B66" s="12" t="s">
        <v>636</v>
      </c>
      <c r="C66" s="13">
        <v>45385</v>
      </c>
      <c r="D66" s="13">
        <v>45657</v>
      </c>
      <c r="E66" s="6" t="s">
        <v>624</v>
      </c>
      <c r="F66" s="5" t="s">
        <v>637</v>
      </c>
      <c r="G66" s="10">
        <v>2175</v>
      </c>
      <c r="H66" s="10"/>
      <c r="I66" s="10"/>
      <c r="J66" s="10"/>
      <c r="K66" s="10"/>
      <c r="L66" s="10"/>
      <c r="M66" s="10">
        <v>2175</v>
      </c>
      <c r="N66" s="10"/>
      <c r="O66" s="10"/>
      <c r="P66" s="10"/>
      <c r="Q66" s="10"/>
      <c r="R66" s="10"/>
      <c r="S66" s="10"/>
      <c r="T66" s="10"/>
      <c r="U66" s="10"/>
      <c r="V66" s="10">
        <v>2175</v>
      </c>
      <c r="W66" s="10"/>
      <c r="X66" s="10"/>
      <c r="Y66" s="10"/>
      <c r="Z66" s="11">
        <f t="shared" si="17"/>
        <v>2175</v>
      </c>
      <c r="AA66" s="10">
        <f t="shared" si="18"/>
        <v>0</v>
      </c>
      <c r="AB66" s="3"/>
    </row>
    <row r="67" spans="1:28" ht="25.5" customHeight="1" x14ac:dyDescent="0.25">
      <c r="A67" s="7">
        <v>63</v>
      </c>
      <c r="B67" s="12" t="s">
        <v>638</v>
      </c>
      <c r="C67" s="13">
        <v>45385</v>
      </c>
      <c r="D67" s="13">
        <v>45657</v>
      </c>
      <c r="E67" s="6" t="s">
        <v>624</v>
      </c>
      <c r="F67" s="5" t="s">
        <v>639</v>
      </c>
      <c r="G67" s="10">
        <v>17400</v>
      </c>
      <c r="H67" s="10"/>
      <c r="I67" s="10"/>
      <c r="J67" s="10"/>
      <c r="K67" s="10"/>
      <c r="L67" s="10"/>
      <c r="M67" s="10">
        <v>17400</v>
      </c>
      <c r="N67" s="10"/>
      <c r="O67" s="10"/>
      <c r="P67" s="10"/>
      <c r="Q67" s="10"/>
      <c r="R67" s="10"/>
      <c r="S67" s="10"/>
      <c r="T67" s="10"/>
      <c r="U67" s="10"/>
      <c r="V67" s="10">
        <v>17400</v>
      </c>
      <c r="W67" s="10"/>
      <c r="X67" s="10"/>
      <c r="Y67" s="10"/>
      <c r="Z67" s="11">
        <f t="shared" si="17"/>
        <v>17400</v>
      </c>
      <c r="AA67" s="10">
        <f t="shared" si="18"/>
        <v>0</v>
      </c>
      <c r="AB67" s="3"/>
    </row>
    <row r="68" spans="1:28" ht="25.5" customHeight="1" x14ac:dyDescent="0.25">
      <c r="A68" s="7">
        <v>64</v>
      </c>
      <c r="B68" s="12" t="s">
        <v>290</v>
      </c>
      <c r="C68" s="13">
        <v>45385</v>
      </c>
      <c r="D68" s="13">
        <v>45657</v>
      </c>
      <c r="E68" s="6" t="s">
        <v>640</v>
      </c>
      <c r="F68" s="5" t="s">
        <v>641</v>
      </c>
      <c r="G68" s="10">
        <v>10223</v>
      </c>
      <c r="H68" s="10">
        <v>10223</v>
      </c>
      <c r="I68" s="10"/>
      <c r="J68" s="10"/>
      <c r="K68" s="10"/>
      <c r="L68" s="10"/>
      <c r="M68" s="10"/>
      <c r="N68" s="10"/>
      <c r="O68" s="10"/>
      <c r="P68" s="10"/>
      <c r="Q68" s="10">
        <v>10223</v>
      </c>
      <c r="R68" s="10"/>
      <c r="S68" s="10"/>
      <c r="T68" s="10"/>
      <c r="U68" s="10"/>
      <c r="V68" s="10"/>
      <c r="W68" s="10"/>
      <c r="X68" s="10"/>
      <c r="Y68" s="10"/>
      <c r="Z68" s="11">
        <f t="shared" si="17"/>
        <v>10223</v>
      </c>
      <c r="AA68" s="10">
        <f t="shared" si="18"/>
        <v>0</v>
      </c>
      <c r="AB68" s="3"/>
    </row>
    <row r="69" spans="1:28" ht="41.25" customHeight="1" x14ac:dyDescent="0.25">
      <c r="A69" s="7">
        <v>65</v>
      </c>
      <c r="B69" s="12" t="s">
        <v>642</v>
      </c>
      <c r="C69" s="13">
        <v>45386</v>
      </c>
      <c r="D69" s="13">
        <v>45657</v>
      </c>
      <c r="E69" s="6" t="s">
        <v>624</v>
      </c>
      <c r="F69" s="5" t="s">
        <v>643</v>
      </c>
      <c r="G69" s="10">
        <v>62785</v>
      </c>
      <c r="H69" s="10"/>
      <c r="I69" s="10"/>
      <c r="J69" s="10"/>
      <c r="K69" s="10"/>
      <c r="L69" s="10"/>
      <c r="M69" s="10">
        <v>62785</v>
      </c>
      <c r="N69" s="10"/>
      <c r="O69" s="10"/>
      <c r="P69" s="10"/>
      <c r="Q69" s="10"/>
      <c r="R69" s="10"/>
      <c r="S69" s="10"/>
      <c r="T69" s="10"/>
      <c r="U69" s="10"/>
      <c r="V69" s="10">
        <v>62785</v>
      </c>
      <c r="W69" s="10"/>
      <c r="X69" s="10"/>
      <c r="Y69" s="10"/>
      <c r="Z69" s="11">
        <f t="shared" si="17"/>
        <v>62785</v>
      </c>
      <c r="AA69" s="10">
        <f t="shared" si="18"/>
        <v>0</v>
      </c>
      <c r="AB69" s="3"/>
    </row>
    <row r="70" spans="1:28" ht="41.25" customHeight="1" x14ac:dyDescent="0.25">
      <c r="A70" s="7">
        <v>66</v>
      </c>
      <c r="B70" s="12" t="s">
        <v>644</v>
      </c>
      <c r="C70" s="13">
        <v>45386</v>
      </c>
      <c r="D70" s="13">
        <v>45657</v>
      </c>
      <c r="E70" s="6" t="s">
        <v>624</v>
      </c>
      <c r="F70" s="5" t="s">
        <v>645</v>
      </c>
      <c r="G70" s="10">
        <v>68458</v>
      </c>
      <c r="H70" s="10"/>
      <c r="I70" s="10"/>
      <c r="J70" s="10"/>
      <c r="K70" s="10"/>
      <c r="L70" s="10"/>
      <c r="M70" s="10">
        <v>68458</v>
      </c>
      <c r="N70" s="10"/>
      <c r="O70" s="10"/>
      <c r="P70" s="10"/>
      <c r="Q70" s="10"/>
      <c r="R70" s="10"/>
      <c r="S70" s="10"/>
      <c r="T70" s="10"/>
      <c r="U70" s="10"/>
      <c r="V70" s="10">
        <v>68458</v>
      </c>
      <c r="W70" s="10"/>
      <c r="X70" s="10"/>
      <c r="Y70" s="10"/>
      <c r="Z70" s="11">
        <f t="shared" si="17"/>
        <v>68458</v>
      </c>
      <c r="AA70" s="10">
        <f t="shared" si="18"/>
        <v>0</v>
      </c>
      <c r="AB70" s="3"/>
    </row>
    <row r="71" spans="1:28" ht="27" customHeight="1" x14ac:dyDescent="0.25">
      <c r="A71" s="7">
        <v>67</v>
      </c>
      <c r="B71" s="12" t="s">
        <v>646</v>
      </c>
      <c r="C71" s="13">
        <v>45387</v>
      </c>
      <c r="D71" s="13">
        <v>45657</v>
      </c>
      <c r="E71" s="6" t="s">
        <v>624</v>
      </c>
      <c r="F71" s="5" t="s">
        <v>647</v>
      </c>
      <c r="G71" s="10">
        <v>63075</v>
      </c>
      <c r="H71" s="10"/>
      <c r="I71" s="10"/>
      <c r="J71" s="10"/>
      <c r="K71" s="10"/>
      <c r="L71" s="10"/>
      <c r="M71" s="10">
        <v>63075</v>
      </c>
      <c r="N71" s="10"/>
      <c r="O71" s="10"/>
      <c r="P71" s="10"/>
      <c r="Q71" s="10"/>
      <c r="R71" s="10"/>
      <c r="S71" s="10"/>
      <c r="T71" s="10"/>
      <c r="U71" s="10"/>
      <c r="V71" s="10">
        <v>63075</v>
      </c>
      <c r="W71" s="10"/>
      <c r="X71" s="10"/>
      <c r="Y71" s="10"/>
      <c r="Z71" s="11">
        <f t="shared" si="17"/>
        <v>63075</v>
      </c>
      <c r="AA71" s="10">
        <f t="shared" si="18"/>
        <v>0</v>
      </c>
      <c r="AB71" s="3"/>
    </row>
    <row r="72" spans="1:28" ht="27" customHeight="1" x14ac:dyDescent="0.25">
      <c r="A72" s="7">
        <v>68</v>
      </c>
      <c r="B72" s="12" t="s">
        <v>648</v>
      </c>
      <c r="C72" s="13">
        <v>45387</v>
      </c>
      <c r="D72" s="13">
        <v>45657</v>
      </c>
      <c r="E72" s="6" t="s">
        <v>624</v>
      </c>
      <c r="F72" s="5" t="s">
        <v>649</v>
      </c>
      <c r="G72" s="10">
        <v>3500</v>
      </c>
      <c r="H72" s="10"/>
      <c r="I72" s="10"/>
      <c r="J72" s="10"/>
      <c r="K72" s="10"/>
      <c r="L72" s="10"/>
      <c r="M72" s="10">
        <v>3500</v>
      </c>
      <c r="N72" s="10"/>
      <c r="O72" s="10"/>
      <c r="P72" s="10"/>
      <c r="Q72" s="10"/>
      <c r="R72" s="10"/>
      <c r="S72" s="10"/>
      <c r="T72" s="10"/>
      <c r="U72" s="10"/>
      <c r="V72" s="10">
        <v>3500</v>
      </c>
      <c r="W72" s="10"/>
      <c r="X72" s="10"/>
      <c r="Y72" s="10"/>
      <c r="Z72" s="11">
        <f t="shared" si="17"/>
        <v>3500</v>
      </c>
      <c r="AA72" s="10">
        <f t="shared" si="18"/>
        <v>0</v>
      </c>
      <c r="AB72" s="3"/>
    </row>
    <row r="73" spans="1:28" ht="40.5" customHeight="1" x14ac:dyDescent="0.25">
      <c r="A73" s="7">
        <v>69</v>
      </c>
      <c r="B73" s="12" t="s">
        <v>655</v>
      </c>
      <c r="C73" s="13">
        <v>45391</v>
      </c>
      <c r="D73" s="13">
        <v>45657</v>
      </c>
      <c r="E73" s="6" t="s">
        <v>656</v>
      </c>
      <c r="F73" s="5" t="s">
        <v>692</v>
      </c>
      <c r="G73" s="10">
        <v>95000</v>
      </c>
      <c r="H73" s="10"/>
      <c r="I73" s="10"/>
      <c r="J73" s="10"/>
      <c r="K73" s="10"/>
      <c r="L73" s="10"/>
      <c r="M73" s="10">
        <v>95000</v>
      </c>
      <c r="N73" s="10"/>
      <c r="O73" s="10"/>
      <c r="P73" s="10"/>
      <c r="Q73" s="10"/>
      <c r="R73" s="10"/>
      <c r="S73" s="10"/>
      <c r="T73" s="10"/>
      <c r="U73" s="10"/>
      <c r="V73" s="10">
        <v>95000</v>
      </c>
      <c r="W73" s="10"/>
      <c r="X73" s="10"/>
      <c r="Y73" s="10"/>
      <c r="Z73" s="11">
        <f t="shared" si="17"/>
        <v>95000</v>
      </c>
      <c r="AA73" s="10">
        <f t="shared" si="18"/>
        <v>0</v>
      </c>
      <c r="AB73" s="3"/>
    </row>
    <row r="74" spans="1:28" ht="39" customHeight="1" x14ac:dyDescent="0.25">
      <c r="A74" s="7">
        <v>70</v>
      </c>
      <c r="B74" s="12" t="s">
        <v>657</v>
      </c>
      <c r="C74" s="13">
        <v>45391</v>
      </c>
      <c r="D74" s="13">
        <v>45657</v>
      </c>
      <c r="E74" s="6" t="s">
        <v>656</v>
      </c>
      <c r="F74" s="6" t="s">
        <v>658</v>
      </c>
      <c r="G74" s="10">
        <v>35625</v>
      </c>
      <c r="H74" s="10"/>
      <c r="I74" s="10"/>
      <c r="J74" s="10"/>
      <c r="K74" s="10"/>
      <c r="L74" s="10"/>
      <c r="M74" s="10"/>
      <c r="N74" s="10"/>
      <c r="O74" s="10">
        <v>35625</v>
      </c>
      <c r="P74" s="10"/>
      <c r="Q74" s="10"/>
      <c r="R74" s="10"/>
      <c r="S74" s="10"/>
      <c r="T74" s="10"/>
      <c r="U74" s="10"/>
      <c r="V74" s="10"/>
      <c r="W74" s="10"/>
      <c r="X74" s="10">
        <v>35625</v>
      </c>
      <c r="Y74" s="10"/>
      <c r="Z74" s="11">
        <f t="shared" si="17"/>
        <v>35625</v>
      </c>
      <c r="AA74" s="10">
        <f t="shared" si="18"/>
        <v>0</v>
      </c>
      <c r="AB74" s="3"/>
    </row>
    <row r="75" spans="1:28" ht="17.25" customHeight="1" x14ac:dyDescent="0.25">
      <c r="A75" s="7">
        <v>71</v>
      </c>
      <c r="B75" s="12" t="s">
        <v>659</v>
      </c>
      <c r="C75" s="13">
        <v>45390</v>
      </c>
      <c r="D75" s="13">
        <v>45657</v>
      </c>
      <c r="E75" s="6" t="s">
        <v>280</v>
      </c>
      <c r="F75" s="5" t="s">
        <v>115</v>
      </c>
      <c r="G75" s="10">
        <v>1113.5999999999999</v>
      </c>
      <c r="H75" s="10"/>
      <c r="I75" s="10">
        <v>1113.5999999999999</v>
      </c>
      <c r="J75" s="10"/>
      <c r="K75" s="10"/>
      <c r="L75" s="10"/>
      <c r="M75" s="10"/>
      <c r="N75" s="10"/>
      <c r="O75" s="10"/>
      <c r="P75" s="10"/>
      <c r="Q75" s="10"/>
      <c r="R75" s="10">
        <v>1113.5999999999999</v>
      </c>
      <c r="S75" s="10"/>
      <c r="T75" s="10"/>
      <c r="U75" s="10"/>
      <c r="V75" s="10"/>
      <c r="W75" s="10"/>
      <c r="X75" s="10"/>
      <c r="Y75" s="10"/>
      <c r="Z75" s="11">
        <f t="shared" si="17"/>
        <v>1113.5999999999999</v>
      </c>
      <c r="AA75" s="10">
        <f t="shared" si="18"/>
        <v>0</v>
      </c>
      <c r="AB75" s="3"/>
    </row>
    <row r="76" spans="1:28" ht="41.25" customHeight="1" x14ac:dyDescent="0.25">
      <c r="A76" s="7">
        <v>72</v>
      </c>
      <c r="B76" s="12" t="s">
        <v>663</v>
      </c>
      <c r="C76" s="13">
        <v>45391</v>
      </c>
      <c r="D76" s="13">
        <v>45657</v>
      </c>
      <c r="E76" s="6" t="s">
        <v>656</v>
      </c>
      <c r="F76" s="5" t="s">
        <v>664</v>
      </c>
      <c r="G76" s="10">
        <v>5000</v>
      </c>
      <c r="H76" s="10"/>
      <c r="I76" s="10"/>
      <c r="J76" s="10"/>
      <c r="K76" s="10"/>
      <c r="L76" s="10"/>
      <c r="M76" s="10">
        <v>5000</v>
      </c>
      <c r="N76" s="10"/>
      <c r="O76" s="10"/>
      <c r="P76" s="10"/>
      <c r="Q76" s="10"/>
      <c r="R76" s="10"/>
      <c r="S76" s="10"/>
      <c r="T76" s="10"/>
      <c r="U76" s="10"/>
      <c r="V76" s="10">
        <v>5000</v>
      </c>
      <c r="W76" s="10"/>
      <c r="X76" s="10"/>
      <c r="Y76" s="10"/>
      <c r="Z76" s="11">
        <f t="shared" si="17"/>
        <v>5000</v>
      </c>
      <c r="AA76" s="10">
        <f t="shared" si="18"/>
        <v>0</v>
      </c>
      <c r="AB76" s="3"/>
    </row>
    <row r="77" spans="1:28" ht="38.25" customHeight="1" x14ac:dyDescent="0.25">
      <c r="A77" s="7">
        <v>73</v>
      </c>
      <c r="B77" s="12" t="s">
        <v>667</v>
      </c>
      <c r="C77" s="13">
        <v>45391</v>
      </c>
      <c r="D77" s="13">
        <v>45657</v>
      </c>
      <c r="E77" s="6" t="s">
        <v>211</v>
      </c>
      <c r="F77" s="5" t="s">
        <v>668</v>
      </c>
      <c r="G77" s="10">
        <v>2690</v>
      </c>
      <c r="H77" s="10"/>
      <c r="I77" s="10"/>
      <c r="J77" s="10"/>
      <c r="K77" s="10"/>
      <c r="L77" s="10"/>
      <c r="M77" s="10">
        <v>2690</v>
      </c>
      <c r="N77" s="10"/>
      <c r="O77" s="10"/>
      <c r="P77" s="10"/>
      <c r="Q77" s="10"/>
      <c r="R77" s="10"/>
      <c r="S77" s="10"/>
      <c r="T77" s="10"/>
      <c r="U77" s="10"/>
      <c r="V77" s="10">
        <v>2690</v>
      </c>
      <c r="W77" s="10"/>
      <c r="X77" s="10"/>
      <c r="Y77" s="10"/>
      <c r="Z77" s="11">
        <f t="shared" si="17"/>
        <v>2690</v>
      </c>
      <c r="AA77" s="10">
        <f t="shared" si="18"/>
        <v>0</v>
      </c>
      <c r="AB77" s="3"/>
    </row>
    <row r="78" spans="1:28" ht="39.75" customHeight="1" x14ac:dyDescent="0.25">
      <c r="A78" s="7">
        <v>74</v>
      </c>
      <c r="B78" s="12" t="s">
        <v>669</v>
      </c>
      <c r="C78" s="13">
        <v>45391</v>
      </c>
      <c r="D78" s="13">
        <v>45657</v>
      </c>
      <c r="E78" s="6" t="s">
        <v>656</v>
      </c>
      <c r="F78" s="6" t="s">
        <v>670</v>
      </c>
      <c r="G78" s="10">
        <v>700</v>
      </c>
      <c r="H78" s="10"/>
      <c r="I78" s="10"/>
      <c r="J78" s="10"/>
      <c r="K78" s="10"/>
      <c r="L78" s="10"/>
      <c r="M78" s="10">
        <v>700</v>
      </c>
      <c r="N78" s="10"/>
      <c r="O78" s="10"/>
      <c r="P78" s="10"/>
      <c r="Q78" s="10"/>
      <c r="R78" s="10"/>
      <c r="S78" s="10"/>
      <c r="T78" s="10"/>
      <c r="U78" s="10"/>
      <c r="V78" s="10">
        <v>700</v>
      </c>
      <c r="W78" s="10"/>
      <c r="X78" s="10"/>
      <c r="Y78" s="10"/>
      <c r="Z78" s="11">
        <f t="shared" si="17"/>
        <v>700</v>
      </c>
      <c r="AA78" s="10">
        <f t="shared" si="18"/>
        <v>0</v>
      </c>
      <c r="AB78" s="3"/>
    </row>
    <row r="79" spans="1:28" ht="39.75" customHeight="1" x14ac:dyDescent="0.25">
      <c r="A79" s="7">
        <v>75</v>
      </c>
      <c r="B79" s="12" t="s">
        <v>671</v>
      </c>
      <c r="C79" s="13">
        <v>45392</v>
      </c>
      <c r="D79" s="13">
        <v>45657</v>
      </c>
      <c r="E79" s="6" t="s">
        <v>672</v>
      </c>
      <c r="F79" s="5" t="s">
        <v>673</v>
      </c>
      <c r="G79" s="10">
        <v>33105.599999999999</v>
      </c>
      <c r="H79" s="10"/>
      <c r="I79" s="10"/>
      <c r="J79" s="10"/>
      <c r="K79" s="10"/>
      <c r="L79" s="10"/>
      <c r="M79" s="10">
        <v>33105.599999999999</v>
      </c>
      <c r="N79" s="10"/>
      <c r="O79" s="10"/>
      <c r="P79" s="10"/>
      <c r="Q79" s="10"/>
      <c r="R79" s="10"/>
      <c r="S79" s="10"/>
      <c r="T79" s="10"/>
      <c r="U79" s="10"/>
      <c r="V79" s="10">
        <v>33105.599999999999</v>
      </c>
      <c r="W79" s="10"/>
      <c r="X79" s="10"/>
      <c r="Y79" s="10"/>
      <c r="Z79" s="11">
        <f t="shared" si="17"/>
        <v>33105.599999999999</v>
      </c>
      <c r="AA79" s="10">
        <f t="shared" si="18"/>
        <v>0</v>
      </c>
      <c r="AB79" s="3"/>
    </row>
    <row r="80" spans="1:28" ht="24.75" customHeight="1" x14ac:dyDescent="0.25">
      <c r="A80" s="7">
        <v>76</v>
      </c>
      <c r="B80" s="12" t="s">
        <v>674</v>
      </c>
      <c r="C80" s="13">
        <v>45392</v>
      </c>
      <c r="D80" s="13">
        <v>45657</v>
      </c>
      <c r="E80" s="6" t="s">
        <v>656</v>
      </c>
      <c r="F80" s="5" t="s">
        <v>675</v>
      </c>
      <c r="G80" s="10">
        <v>37200</v>
      </c>
      <c r="H80" s="10"/>
      <c r="I80" s="10"/>
      <c r="J80" s="10"/>
      <c r="K80" s="10"/>
      <c r="L80" s="10"/>
      <c r="M80" s="10">
        <v>37200</v>
      </c>
      <c r="N80" s="10"/>
      <c r="O80" s="10"/>
      <c r="P80" s="10"/>
      <c r="Q80" s="10"/>
      <c r="R80" s="10"/>
      <c r="S80" s="10"/>
      <c r="T80" s="10"/>
      <c r="U80" s="10"/>
      <c r="V80" s="10">
        <v>37200</v>
      </c>
      <c r="W80" s="10"/>
      <c r="X80" s="10"/>
      <c r="Y80" s="10"/>
      <c r="Z80" s="11">
        <f t="shared" si="17"/>
        <v>37200</v>
      </c>
      <c r="AA80" s="10">
        <f t="shared" si="18"/>
        <v>0</v>
      </c>
      <c r="AB80" s="3"/>
    </row>
    <row r="81" spans="1:28" ht="40.5" customHeight="1" x14ac:dyDescent="0.25">
      <c r="A81" s="7">
        <v>77</v>
      </c>
      <c r="B81" s="12" t="s">
        <v>676</v>
      </c>
      <c r="C81" s="13">
        <v>45392</v>
      </c>
      <c r="D81" s="13">
        <v>45657</v>
      </c>
      <c r="E81" s="6" t="s">
        <v>656</v>
      </c>
      <c r="F81" s="5" t="s">
        <v>677</v>
      </c>
      <c r="G81" s="10">
        <v>21400</v>
      </c>
      <c r="H81" s="10"/>
      <c r="I81" s="10"/>
      <c r="J81" s="10"/>
      <c r="K81" s="10"/>
      <c r="L81" s="10"/>
      <c r="M81" s="10">
        <v>21400</v>
      </c>
      <c r="N81" s="10"/>
      <c r="O81" s="10"/>
      <c r="P81" s="10"/>
      <c r="Q81" s="10"/>
      <c r="R81" s="10"/>
      <c r="S81" s="10"/>
      <c r="T81" s="10"/>
      <c r="U81" s="10"/>
      <c r="V81" s="10">
        <v>21400</v>
      </c>
      <c r="W81" s="10"/>
      <c r="X81" s="10"/>
      <c r="Y81" s="10"/>
      <c r="Z81" s="11">
        <f t="shared" si="17"/>
        <v>21400</v>
      </c>
      <c r="AA81" s="10">
        <f t="shared" si="18"/>
        <v>0</v>
      </c>
      <c r="AB81" s="3"/>
    </row>
    <row r="82" spans="1:28" ht="40.5" customHeight="1" x14ac:dyDescent="0.25">
      <c r="A82" s="7">
        <v>78</v>
      </c>
      <c r="B82" s="12" t="s">
        <v>680</v>
      </c>
      <c r="C82" s="13">
        <v>45392</v>
      </c>
      <c r="D82" s="13">
        <v>45657</v>
      </c>
      <c r="E82" s="6" t="s">
        <v>656</v>
      </c>
      <c r="F82" s="5" t="s">
        <v>681</v>
      </c>
      <c r="G82" s="10">
        <v>3750</v>
      </c>
      <c r="H82" s="10"/>
      <c r="I82" s="10"/>
      <c r="J82" s="10"/>
      <c r="K82" s="10"/>
      <c r="L82" s="10"/>
      <c r="M82" s="10">
        <v>3750</v>
      </c>
      <c r="N82" s="10"/>
      <c r="O82" s="10"/>
      <c r="P82" s="10"/>
      <c r="Q82" s="10"/>
      <c r="R82" s="10"/>
      <c r="S82" s="10"/>
      <c r="T82" s="10"/>
      <c r="U82" s="10"/>
      <c r="V82" s="10">
        <v>3750</v>
      </c>
      <c r="W82" s="10"/>
      <c r="X82" s="10"/>
      <c r="Y82" s="10"/>
      <c r="Z82" s="11">
        <f t="shared" si="17"/>
        <v>3750</v>
      </c>
      <c r="AA82" s="10">
        <f t="shared" si="18"/>
        <v>0</v>
      </c>
      <c r="AB82" s="3"/>
    </row>
    <row r="83" spans="1:28" ht="40.5" customHeight="1" x14ac:dyDescent="0.25">
      <c r="A83" s="7">
        <v>79</v>
      </c>
      <c r="B83" s="12" t="s">
        <v>682</v>
      </c>
      <c r="C83" s="13">
        <v>45392</v>
      </c>
      <c r="D83" s="13">
        <v>45657</v>
      </c>
      <c r="E83" s="6" t="s">
        <v>656</v>
      </c>
      <c r="F83" s="41" t="s">
        <v>683</v>
      </c>
      <c r="G83" s="10">
        <v>40175</v>
      </c>
      <c r="H83" s="10"/>
      <c r="I83" s="10"/>
      <c r="J83" s="10"/>
      <c r="K83" s="10"/>
      <c r="L83" s="10"/>
      <c r="M83" s="10">
        <v>40175</v>
      </c>
      <c r="N83" s="10"/>
      <c r="O83" s="10"/>
      <c r="P83" s="10"/>
      <c r="Q83" s="10"/>
      <c r="R83" s="10"/>
      <c r="S83" s="10"/>
      <c r="T83" s="10"/>
      <c r="U83" s="10"/>
      <c r="V83" s="10">
        <v>40175</v>
      </c>
      <c r="W83" s="10"/>
      <c r="X83" s="10"/>
      <c r="Y83" s="10"/>
      <c r="Z83" s="11">
        <f t="shared" si="17"/>
        <v>40175</v>
      </c>
      <c r="AA83" s="10">
        <f t="shared" si="18"/>
        <v>0</v>
      </c>
      <c r="AB83" s="3"/>
    </row>
    <row r="84" spans="1:28" ht="20.25" customHeight="1" x14ac:dyDescent="0.25">
      <c r="A84" s="7">
        <v>80</v>
      </c>
      <c r="B84" s="12" t="s">
        <v>684</v>
      </c>
      <c r="C84" s="13">
        <v>45392</v>
      </c>
      <c r="D84" s="13">
        <v>45657</v>
      </c>
      <c r="E84" s="6" t="s">
        <v>267</v>
      </c>
      <c r="F84" s="5" t="s">
        <v>115</v>
      </c>
      <c r="G84" s="10">
        <v>9699.5499999999993</v>
      </c>
      <c r="H84" s="10">
        <v>9699.5499999999993</v>
      </c>
      <c r="I84" s="10"/>
      <c r="J84" s="10"/>
      <c r="K84" s="10"/>
      <c r="L84" s="10"/>
      <c r="M84" s="10"/>
      <c r="N84" s="10"/>
      <c r="O84" s="10"/>
      <c r="P84" s="10"/>
      <c r="Q84" s="10">
        <v>9699.5499999999993</v>
      </c>
      <c r="R84" s="10"/>
      <c r="S84" s="10"/>
      <c r="T84" s="10"/>
      <c r="U84" s="10"/>
      <c r="V84" s="10"/>
      <c r="W84" s="10"/>
      <c r="X84" s="10"/>
      <c r="Y84" s="10"/>
      <c r="Z84" s="11">
        <f t="shared" si="17"/>
        <v>9699.5499999999993</v>
      </c>
      <c r="AA84" s="10">
        <f t="shared" si="18"/>
        <v>0</v>
      </c>
      <c r="AB84" s="3"/>
    </row>
    <row r="85" spans="1:28" ht="39" customHeight="1" x14ac:dyDescent="0.25">
      <c r="A85" s="7">
        <v>81</v>
      </c>
      <c r="B85" s="12" t="s">
        <v>686</v>
      </c>
      <c r="C85" s="13">
        <v>45392</v>
      </c>
      <c r="D85" s="13">
        <v>45657</v>
      </c>
      <c r="E85" s="6" t="s">
        <v>687</v>
      </c>
      <c r="F85" s="6" t="s">
        <v>688</v>
      </c>
      <c r="G85" s="10">
        <v>42950</v>
      </c>
      <c r="H85" s="10"/>
      <c r="I85" s="10"/>
      <c r="J85" s="10"/>
      <c r="K85" s="10"/>
      <c r="L85" s="10"/>
      <c r="M85" s="10">
        <v>42950</v>
      </c>
      <c r="N85" s="10"/>
      <c r="O85" s="10"/>
      <c r="P85" s="10"/>
      <c r="Q85" s="10"/>
      <c r="R85" s="10"/>
      <c r="S85" s="10"/>
      <c r="T85" s="10"/>
      <c r="U85" s="10"/>
      <c r="V85" s="10">
        <v>42950</v>
      </c>
      <c r="W85" s="10"/>
      <c r="X85" s="10"/>
      <c r="Y85" s="10"/>
      <c r="Z85" s="11">
        <f t="shared" si="17"/>
        <v>42950</v>
      </c>
      <c r="AA85" s="10">
        <f t="shared" si="18"/>
        <v>0</v>
      </c>
      <c r="AB85" s="3"/>
    </row>
    <row r="86" spans="1:28" ht="18.75" customHeight="1" x14ac:dyDescent="0.25">
      <c r="A86" s="7">
        <v>82</v>
      </c>
      <c r="B86" s="12" t="s">
        <v>693</v>
      </c>
      <c r="C86" s="13">
        <v>45393</v>
      </c>
      <c r="D86" s="13">
        <v>45657</v>
      </c>
      <c r="E86" s="6" t="s">
        <v>694</v>
      </c>
      <c r="F86" s="6" t="s">
        <v>695</v>
      </c>
      <c r="G86" s="10">
        <v>285</v>
      </c>
      <c r="H86" s="10">
        <v>285</v>
      </c>
      <c r="I86" s="10"/>
      <c r="J86" s="10"/>
      <c r="K86" s="10"/>
      <c r="L86" s="10"/>
      <c r="M86" s="10"/>
      <c r="N86" s="10"/>
      <c r="O86" s="10"/>
      <c r="P86" s="10"/>
      <c r="Q86" s="10">
        <v>285</v>
      </c>
      <c r="R86" s="10"/>
      <c r="S86" s="10"/>
      <c r="T86" s="10"/>
      <c r="U86" s="10"/>
      <c r="V86" s="10"/>
      <c r="W86" s="10"/>
      <c r="X86" s="10"/>
      <c r="Y86" s="10"/>
      <c r="Z86" s="11">
        <f t="shared" si="17"/>
        <v>285</v>
      </c>
      <c r="AA86" s="10">
        <f t="shared" si="18"/>
        <v>0</v>
      </c>
      <c r="AB86" s="3"/>
    </row>
    <row r="87" spans="1:28" ht="39" customHeight="1" x14ac:dyDescent="0.25">
      <c r="A87" s="7">
        <v>83</v>
      </c>
      <c r="B87" s="12" t="s">
        <v>698</v>
      </c>
      <c r="C87" s="13">
        <v>45397</v>
      </c>
      <c r="D87" s="13">
        <v>45657</v>
      </c>
      <c r="E87" s="6" t="s">
        <v>101</v>
      </c>
      <c r="F87" s="6" t="s">
        <v>699</v>
      </c>
      <c r="G87" s="10">
        <v>49021</v>
      </c>
      <c r="H87" s="10"/>
      <c r="I87" s="10"/>
      <c r="J87" s="10"/>
      <c r="K87" s="10"/>
      <c r="L87" s="10"/>
      <c r="M87" s="10">
        <v>49021</v>
      </c>
      <c r="N87" s="10"/>
      <c r="O87" s="10"/>
      <c r="P87" s="10"/>
      <c r="Q87" s="10"/>
      <c r="R87" s="10"/>
      <c r="S87" s="10"/>
      <c r="T87" s="10"/>
      <c r="U87" s="10"/>
      <c r="V87" s="10">
        <v>49021</v>
      </c>
      <c r="W87" s="10"/>
      <c r="X87" s="10"/>
      <c r="Y87" s="10"/>
      <c r="Z87" s="11">
        <f t="shared" si="17"/>
        <v>49021</v>
      </c>
      <c r="AA87" s="10">
        <f t="shared" si="18"/>
        <v>0</v>
      </c>
      <c r="AB87" s="3"/>
    </row>
    <row r="88" spans="1:28" ht="39" customHeight="1" x14ac:dyDescent="0.25">
      <c r="A88" s="7">
        <v>84</v>
      </c>
      <c r="B88" s="12" t="s">
        <v>701</v>
      </c>
      <c r="C88" s="13">
        <v>45397</v>
      </c>
      <c r="D88" s="13">
        <v>45657</v>
      </c>
      <c r="E88" s="6" t="s">
        <v>211</v>
      </c>
      <c r="F88" s="6" t="s">
        <v>702</v>
      </c>
      <c r="G88" s="10">
        <v>1725</v>
      </c>
      <c r="H88" s="10"/>
      <c r="I88" s="10"/>
      <c r="J88" s="10"/>
      <c r="K88" s="10"/>
      <c r="L88" s="10"/>
      <c r="M88" s="10">
        <v>1725</v>
      </c>
      <c r="N88" s="10"/>
      <c r="O88" s="10"/>
      <c r="P88" s="10"/>
      <c r="Q88" s="10"/>
      <c r="R88" s="10"/>
      <c r="S88" s="10"/>
      <c r="T88" s="10"/>
      <c r="U88" s="10"/>
      <c r="V88" s="10">
        <v>1725</v>
      </c>
      <c r="W88" s="10"/>
      <c r="X88" s="10"/>
      <c r="Y88" s="10"/>
      <c r="Z88" s="11">
        <f t="shared" si="17"/>
        <v>1725</v>
      </c>
      <c r="AA88" s="10">
        <f t="shared" si="18"/>
        <v>0</v>
      </c>
      <c r="AB88" s="3"/>
    </row>
    <row r="89" spans="1:28" ht="27" customHeight="1" x14ac:dyDescent="0.25">
      <c r="A89" s="7">
        <v>85</v>
      </c>
      <c r="B89" s="12" t="s">
        <v>710</v>
      </c>
      <c r="C89" s="13">
        <v>45398</v>
      </c>
      <c r="D89" s="13">
        <v>45657</v>
      </c>
      <c r="E89" s="6" t="s">
        <v>711</v>
      </c>
      <c r="F89" s="41" t="s">
        <v>712</v>
      </c>
      <c r="G89" s="10">
        <v>48054</v>
      </c>
      <c r="H89" s="10"/>
      <c r="I89" s="10"/>
      <c r="J89" s="10"/>
      <c r="K89" s="10"/>
      <c r="L89" s="10"/>
      <c r="M89" s="10">
        <v>45000</v>
      </c>
      <c r="N89" s="10"/>
      <c r="O89" s="10"/>
      <c r="P89" s="10">
        <v>3054</v>
      </c>
      <c r="Q89" s="10"/>
      <c r="R89" s="10"/>
      <c r="S89" s="10"/>
      <c r="T89" s="10"/>
      <c r="U89" s="10"/>
      <c r="V89" s="10">
        <v>45000</v>
      </c>
      <c r="W89" s="10"/>
      <c r="X89" s="10"/>
      <c r="Y89" s="10">
        <v>3054</v>
      </c>
      <c r="Z89" s="11">
        <f t="shared" si="17"/>
        <v>48054</v>
      </c>
      <c r="AA89" s="10">
        <f t="shared" si="18"/>
        <v>0</v>
      </c>
      <c r="AB89" s="3"/>
    </row>
    <row r="90" spans="1:28" ht="18" customHeight="1" x14ac:dyDescent="0.25">
      <c r="A90" s="7">
        <v>86</v>
      </c>
      <c r="B90" s="12" t="s">
        <v>717</v>
      </c>
      <c r="C90" s="13">
        <v>45398</v>
      </c>
      <c r="D90" s="13">
        <v>45657</v>
      </c>
      <c r="E90" s="6" t="s">
        <v>93</v>
      </c>
      <c r="F90" s="6" t="s">
        <v>115</v>
      </c>
      <c r="G90" s="10">
        <v>1296</v>
      </c>
      <c r="H90" s="10">
        <v>1296</v>
      </c>
      <c r="I90" s="10"/>
      <c r="J90" s="10"/>
      <c r="K90" s="10"/>
      <c r="L90" s="10"/>
      <c r="M90" s="10"/>
      <c r="N90" s="10"/>
      <c r="O90" s="10"/>
      <c r="P90" s="10"/>
      <c r="Q90" s="10">
        <v>1296</v>
      </c>
      <c r="R90" s="10"/>
      <c r="S90" s="10"/>
      <c r="T90" s="10"/>
      <c r="U90" s="10"/>
      <c r="V90" s="10"/>
      <c r="W90" s="10"/>
      <c r="X90" s="10"/>
      <c r="Y90" s="10"/>
      <c r="Z90" s="11">
        <f t="shared" ref="Z90:Z137" si="19">SUM(Q90:Y90)</f>
        <v>1296</v>
      </c>
      <c r="AA90" s="10">
        <f t="shared" ref="AA90:AA137" si="20">G90-Z90</f>
        <v>0</v>
      </c>
      <c r="AB90" s="3"/>
    </row>
    <row r="91" spans="1:28" ht="18" customHeight="1" x14ac:dyDescent="0.25">
      <c r="A91" s="7">
        <v>87</v>
      </c>
      <c r="B91" s="12" t="s">
        <v>718</v>
      </c>
      <c r="C91" s="13">
        <v>45400</v>
      </c>
      <c r="D91" s="13">
        <v>45657</v>
      </c>
      <c r="E91" s="6" t="s">
        <v>694</v>
      </c>
      <c r="F91" s="6" t="s">
        <v>719</v>
      </c>
      <c r="G91" s="10">
        <v>830</v>
      </c>
      <c r="H91" s="10">
        <v>830</v>
      </c>
      <c r="I91" s="10"/>
      <c r="J91" s="10"/>
      <c r="K91" s="10"/>
      <c r="L91" s="10"/>
      <c r="M91" s="10"/>
      <c r="N91" s="10"/>
      <c r="O91" s="10"/>
      <c r="P91" s="10"/>
      <c r="Q91" s="10">
        <v>830</v>
      </c>
      <c r="R91" s="10"/>
      <c r="S91" s="10"/>
      <c r="T91" s="10"/>
      <c r="U91" s="10"/>
      <c r="V91" s="10"/>
      <c r="W91" s="10"/>
      <c r="X91" s="10"/>
      <c r="Y91" s="10"/>
      <c r="Z91" s="11">
        <f t="shared" si="19"/>
        <v>830</v>
      </c>
      <c r="AA91" s="10">
        <f t="shared" si="20"/>
        <v>0</v>
      </c>
      <c r="AB91" s="3"/>
    </row>
    <row r="92" spans="1:28" ht="18" customHeight="1" x14ac:dyDescent="0.25">
      <c r="A92" s="7">
        <v>88</v>
      </c>
      <c r="B92" s="12" t="s">
        <v>723</v>
      </c>
      <c r="C92" s="13">
        <v>45387</v>
      </c>
      <c r="D92" s="13">
        <v>45657</v>
      </c>
      <c r="E92" s="6" t="s">
        <v>721</v>
      </c>
      <c r="F92" s="6" t="s">
        <v>722</v>
      </c>
      <c r="G92" s="10">
        <v>3700</v>
      </c>
      <c r="H92" s="10"/>
      <c r="I92" s="10"/>
      <c r="J92" s="10"/>
      <c r="K92" s="10"/>
      <c r="L92" s="10"/>
      <c r="M92" s="10"/>
      <c r="N92" s="10"/>
      <c r="O92" s="10"/>
      <c r="P92" s="10">
        <v>3700</v>
      </c>
      <c r="Q92" s="10"/>
      <c r="R92" s="10"/>
      <c r="S92" s="10"/>
      <c r="T92" s="10"/>
      <c r="U92" s="10"/>
      <c r="V92" s="10"/>
      <c r="W92" s="10"/>
      <c r="X92" s="10"/>
      <c r="Y92" s="10">
        <v>3700</v>
      </c>
      <c r="Z92" s="11">
        <f t="shared" si="19"/>
        <v>3700</v>
      </c>
      <c r="AA92" s="10">
        <f t="shared" si="20"/>
        <v>0</v>
      </c>
      <c r="AB92" s="3"/>
    </row>
    <row r="93" spans="1:28" ht="18" customHeight="1" x14ac:dyDescent="0.25">
      <c r="A93" s="7">
        <v>89</v>
      </c>
      <c r="B93" s="12" t="s">
        <v>730</v>
      </c>
      <c r="C93" s="13">
        <v>45380</v>
      </c>
      <c r="D93" s="13">
        <v>45657</v>
      </c>
      <c r="E93" s="6" t="s">
        <v>731</v>
      </c>
      <c r="F93" s="6" t="s">
        <v>202</v>
      </c>
      <c r="G93" s="10">
        <v>11935</v>
      </c>
      <c r="H93" s="10"/>
      <c r="I93" s="10"/>
      <c r="J93" s="10"/>
      <c r="K93" s="10"/>
      <c r="L93" s="10"/>
      <c r="M93" s="10"/>
      <c r="N93" s="10"/>
      <c r="O93" s="10"/>
      <c r="P93" s="10">
        <f>11705+230</f>
        <v>11935</v>
      </c>
      <c r="Q93" s="10"/>
      <c r="R93" s="10"/>
      <c r="S93" s="10"/>
      <c r="T93" s="10"/>
      <c r="U93" s="10"/>
      <c r="V93" s="10"/>
      <c r="W93" s="10"/>
      <c r="X93" s="10"/>
      <c r="Y93" s="10">
        <f>11705+230</f>
        <v>11935</v>
      </c>
      <c r="Z93" s="11">
        <f t="shared" si="19"/>
        <v>11935</v>
      </c>
      <c r="AA93" s="10">
        <f t="shared" si="20"/>
        <v>0</v>
      </c>
      <c r="AB93" s="3"/>
    </row>
    <row r="94" spans="1:28" ht="18" customHeight="1" x14ac:dyDescent="0.25">
      <c r="A94" s="7">
        <v>90</v>
      </c>
      <c r="B94" s="12" t="s">
        <v>737</v>
      </c>
      <c r="C94" s="13">
        <v>45386</v>
      </c>
      <c r="D94" s="13">
        <v>45657</v>
      </c>
      <c r="E94" s="6" t="s">
        <v>731</v>
      </c>
      <c r="F94" s="6" t="s">
        <v>486</v>
      </c>
      <c r="G94" s="10">
        <v>9650</v>
      </c>
      <c r="H94" s="10"/>
      <c r="I94" s="10"/>
      <c r="J94" s="10"/>
      <c r="K94" s="10"/>
      <c r="L94" s="10"/>
      <c r="M94" s="10"/>
      <c r="N94" s="10"/>
      <c r="O94" s="10"/>
      <c r="P94" s="10">
        <v>9650</v>
      </c>
      <c r="Q94" s="10"/>
      <c r="R94" s="10"/>
      <c r="S94" s="10"/>
      <c r="T94" s="10"/>
      <c r="U94" s="10"/>
      <c r="V94" s="10"/>
      <c r="W94" s="10"/>
      <c r="X94" s="10"/>
      <c r="Y94" s="10">
        <v>9650</v>
      </c>
      <c r="Z94" s="11">
        <f t="shared" si="19"/>
        <v>9650</v>
      </c>
      <c r="AA94" s="10">
        <f t="shared" si="20"/>
        <v>0</v>
      </c>
      <c r="AB94" s="3"/>
    </row>
    <row r="95" spans="1:28" ht="18" customHeight="1" x14ac:dyDescent="0.25">
      <c r="A95" s="7">
        <v>91</v>
      </c>
      <c r="B95" s="12" t="s">
        <v>738</v>
      </c>
      <c r="C95" s="13">
        <v>45380</v>
      </c>
      <c r="D95" s="13">
        <v>45657</v>
      </c>
      <c r="E95" s="6" t="s">
        <v>731</v>
      </c>
      <c r="F95" s="6" t="s">
        <v>189</v>
      </c>
      <c r="G95" s="10">
        <v>31794.87</v>
      </c>
      <c r="H95" s="10"/>
      <c r="I95" s="10"/>
      <c r="J95" s="10"/>
      <c r="K95" s="10"/>
      <c r="L95" s="10"/>
      <c r="M95" s="10"/>
      <c r="N95" s="10"/>
      <c r="O95" s="10"/>
      <c r="P95" s="10">
        <v>31794.87</v>
      </c>
      <c r="Q95" s="10"/>
      <c r="R95" s="10"/>
      <c r="S95" s="10"/>
      <c r="T95" s="10"/>
      <c r="U95" s="10"/>
      <c r="V95" s="10"/>
      <c r="W95" s="10"/>
      <c r="X95" s="10"/>
      <c r="Y95" s="10">
        <v>31794.87</v>
      </c>
      <c r="Z95" s="11">
        <f t="shared" si="19"/>
        <v>31794.87</v>
      </c>
      <c r="AA95" s="10">
        <f t="shared" si="20"/>
        <v>0</v>
      </c>
      <c r="AB95" s="3"/>
    </row>
    <row r="96" spans="1:28" ht="18" customHeight="1" x14ac:dyDescent="0.25">
      <c r="A96" s="7">
        <v>92</v>
      </c>
      <c r="B96" s="12" t="s">
        <v>746</v>
      </c>
      <c r="C96" s="13">
        <v>45392</v>
      </c>
      <c r="D96" s="13">
        <v>45657</v>
      </c>
      <c r="E96" s="6" t="s">
        <v>731</v>
      </c>
      <c r="F96" s="6" t="s">
        <v>747</v>
      </c>
      <c r="G96" s="10">
        <v>712.4</v>
      </c>
      <c r="H96" s="10"/>
      <c r="I96" s="10"/>
      <c r="J96" s="10"/>
      <c r="K96" s="10"/>
      <c r="L96" s="10"/>
      <c r="M96" s="10"/>
      <c r="N96" s="10"/>
      <c r="O96" s="10"/>
      <c r="P96" s="10">
        <v>712.4</v>
      </c>
      <c r="Q96" s="10"/>
      <c r="R96" s="10"/>
      <c r="S96" s="10"/>
      <c r="T96" s="10"/>
      <c r="U96" s="10"/>
      <c r="V96" s="10"/>
      <c r="W96" s="10"/>
      <c r="X96" s="10"/>
      <c r="Y96" s="10">
        <v>712.4</v>
      </c>
      <c r="Z96" s="11">
        <f t="shared" si="19"/>
        <v>712.4</v>
      </c>
      <c r="AA96" s="10">
        <f t="shared" si="20"/>
        <v>0</v>
      </c>
      <c r="AB96" s="3"/>
    </row>
    <row r="97" spans="1:28" ht="18" customHeight="1" x14ac:dyDescent="0.25">
      <c r="A97" s="7">
        <v>93</v>
      </c>
      <c r="B97" s="12" t="s">
        <v>765</v>
      </c>
      <c r="C97" s="13">
        <v>45407</v>
      </c>
      <c r="D97" s="13">
        <v>45657</v>
      </c>
      <c r="E97" s="6" t="s">
        <v>731</v>
      </c>
      <c r="F97" s="6" t="s">
        <v>115</v>
      </c>
      <c r="G97" s="10">
        <v>65426.54</v>
      </c>
      <c r="H97" s="10"/>
      <c r="I97" s="10"/>
      <c r="J97" s="10"/>
      <c r="K97" s="10"/>
      <c r="L97" s="10"/>
      <c r="M97" s="10"/>
      <c r="N97" s="10"/>
      <c r="O97" s="10"/>
      <c r="P97" s="10">
        <v>65426.54</v>
      </c>
      <c r="Q97" s="10"/>
      <c r="R97" s="10"/>
      <c r="S97" s="10"/>
      <c r="T97" s="10"/>
      <c r="U97" s="10"/>
      <c r="V97" s="10"/>
      <c r="W97" s="10"/>
      <c r="X97" s="10"/>
      <c r="Y97" s="10">
        <v>65426.54</v>
      </c>
      <c r="Z97" s="11">
        <f t="shared" si="19"/>
        <v>65426.54</v>
      </c>
      <c r="AA97" s="10">
        <f t="shared" si="20"/>
        <v>0</v>
      </c>
      <c r="AB97" s="3"/>
    </row>
    <row r="98" spans="1:28" ht="26.25" customHeight="1" x14ac:dyDescent="0.25">
      <c r="A98" s="7">
        <v>94</v>
      </c>
      <c r="B98" s="12" t="s">
        <v>777</v>
      </c>
      <c r="C98" s="13">
        <v>45411</v>
      </c>
      <c r="D98" s="13">
        <v>45657</v>
      </c>
      <c r="E98" s="6" t="s">
        <v>93</v>
      </c>
      <c r="F98" s="6" t="s">
        <v>779</v>
      </c>
      <c r="G98" s="10">
        <v>3200</v>
      </c>
      <c r="H98" s="10"/>
      <c r="I98" s="10"/>
      <c r="J98" s="10"/>
      <c r="K98" s="10"/>
      <c r="L98" s="10"/>
      <c r="M98" s="10">
        <v>3200</v>
      </c>
      <c r="N98" s="10"/>
      <c r="O98" s="10"/>
      <c r="P98" s="10"/>
      <c r="Q98" s="10"/>
      <c r="R98" s="10"/>
      <c r="S98" s="10"/>
      <c r="T98" s="10"/>
      <c r="U98" s="10"/>
      <c r="V98" s="10">
        <v>3200</v>
      </c>
      <c r="W98" s="10"/>
      <c r="X98" s="10"/>
      <c r="Y98" s="10"/>
      <c r="Z98" s="11">
        <f t="shared" si="19"/>
        <v>3200</v>
      </c>
      <c r="AA98" s="10">
        <f t="shared" si="20"/>
        <v>0</v>
      </c>
      <c r="AB98" s="3"/>
    </row>
    <row r="99" spans="1:28" ht="24.75" customHeight="1" x14ac:dyDescent="0.25">
      <c r="A99" s="7">
        <v>95</v>
      </c>
      <c r="B99" s="12" t="s">
        <v>778</v>
      </c>
      <c r="C99" s="13">
        <v>45411</v>
      </c>
      <c r="D99" s="13">
        <v>45657</v>
      </c>
      <c r="E99" s="6" t="s">
        <v>93</v>
      </c>
      <c r="F99" s="6" t="s">
        <v>780</v>
      </c>
      <c r="G99" s="10">
        <v>2000</v>
      </c>
      <c r="H99" s="10"/>
      <c r="I99" s="10"/>
      <c r="J99" s="10"/>
      <c r="K99" s="10"/>
      <c r="L99" s="10"/>
      <c r="M99" s="10">
        <v>2000</v>
      </c>
      <c r="N99" s="10"/>
      <c r="O99" s="10"/>
      <c r="P99" s="10"/>
      <c r="Q99" s="10"/>
      <c r="R99" s="10"/>
      <c r="S99" s="10"/>
      <c r="T99" s="10"/>
      <c r="U99" s="10"/>
      <c r="V99" s="10">
        <v>2000</v>
      </c>
      <c r="W99" s="10"/>
      <c r="X99" s="10"/>
      <c r="Y99" s="10"/>
      <c r="Z99" s="11">
        <f t="shared" si="19"/>
        <v>2000</v>
      </c>
      <c r="AA99" s="10">
        <f t="shared" si="20"/>
        <v>0</v>
      </c>
      <c r="AB99" s="3"/>
    </row>
    <row r="100" spans="1:28" ht="24.75" customHeight="1" x14ac:dyDescent="0.25">
      <c r="A100" s="7">
        <v>96</v>
      </c>
      <c r="B100" s="12" t="s">
        <v>781</v>
      </c>
      <c r="C100" s="13">
        <v>45411</v>
      </c>
      <c r="D100" s="13">
        <v>45657</v>
      </c>
      <c r="E100" s="6" t="s">
        <v>93</v>
      </c>
      <c r="F100" s="6" t="s">
        <v>782</v>
      </c>
      <c r="G100" s="10">
        <v>4000</v>
      </c>
      <c r="H100" s="10"/>
      <c r="I100" s="10"/>
      <c r="J100" s="10"/>
      <c r="K100" s="10"/>
      <c r="L100" s="10"/>
      <c r="M100" s="10">
        <v>4000</v>
      </c>
      <c r="N100" s="10"/>
      <c r="O100" s="10"/>
      <c r="P100" s="10"/>
      <c r="Q100" s="10"/>
      <c r="R100" s="10"/>
      <c r="S100" s="10"/>
      <c r="T100" s="10"/>
      <c r="U100" s="10"/>
      <c r="V100" s="10">
        <v>4000</v>
      </c>
      <c r="W100" s="10"/>
      <c r="X100" s="10"/>
      <c r="Y100" s="10"/>
      <c r="Z100" s="11">
        <f t="shared" si="19"/>
        <v>4000</v>
      </c>
      <c r="AA100" s="10">
        <f t="shared" si="20"/>
        <v>0</v>
      </c>
      <c r="AB100" s="3"/>
    </row>
    <row r="101" spans="1:28" ht="51.75" customHeight="1" x14ac:dyDescent="0.25">
      <c r="A101" s="7">
        <v>97</v>
      </c>
      <c r="B101" s="12" t="s">
        <v>783</v>
      </c>
      <c r="C101" s="13">
        <v>45411</v>
      </c>
      <c r="D101" s="13">
        <v>45657</v>
      </c>
      <c r="E101" s="6" t="s">
        <v>93</v>
      </c>
      <c r="F101" s="6" t="s">
        <v>784</v>
      </c>
      <c r="G101" s="10">
        <v>5600</v>
      </c>
      <c r="H101" s="10"/>
      <c r="I101" s="10"/>
      <c r="J101" s="10"/>
      <c r="K101" s="10"/>
      <c r="L101" s="10"/>
      <c r="M101" s="10">
        <v>5600</v>
      </c>
      <c r="N101" s="10"/>
      <c r="O101" s="10"/>
      <c r="P101" s="10"/>
      <c r="Q101" s="10"/>
      <c r="R101" s="10"/>
      <c r="S101" s="10"/>
      <c r="T101" s="10"/>
      <c r="U101" s="10"/>
      <c r="V101" s="10">
        <v>5600</v>
      </c>
      <c r="W101" s="10"/>
      <c r="X101" s="10"/>
      <c r="Y101" s="10"/>
      <c r="Z101" s="11">
        <f t="shared" si="19"/>
        <v>5600</v>
      </c>
      <c r="AA101" s="10">
        <f t="shared" si="20"/>
        <v>0</v>
      </c>
      <c r="AB101" s="3"/>
    </row>
    <row r="102" spans="1:28" ht="37.5" customHeight="1" x14ac:dyDescent="0.25">
      <c r="A102" s="7">
        <v>98</v>
      </c>
      <c r="B102" s="12" t="s">
        <v>785</v>
      </c>
      <c r="C102" s="13">
        <v>45408</v>
      </c>
      <c r="D102" s="13">
        <v>45657</v>
      </c>
      <c r="E102" s="6" t="s">
        <v>786</v>
      </c>
      <c r="F102" s="6" t="s">
        <v>787</v>
      </c>
      <c r="G102" s="10">
        <v>26500</v>
      </c>
      <c r="H102" s="10"/>
      <c r="I102" s="10"/>
      <c r="J102" s="10"/>
      <c r="K102" s="10"/>
      <c r="L102" s="10"/>
      <c r="M102" s="10">
        <v>23415</v>
      </c>
      <c r="N102" s="10"/>
      <c r="O102" s="10"/>
      <c r="P102" s="10">
        <v>3085</v>
      </c>
      <c r="Q102" s="10"/>
      <c r="R102" s="10"/>
      <c r="S102" s="10"/>
      <c r="T102" s="10"/>
      <c r="U102" s="10"/>
      <c r="V102" s="10">
        <f>22600+815</f>
        <v>23415</v>
      </c>
      <c r="W102" s="10"/>
      <c r="X102" s="10"/>
      <c r="Y102" s="10">
        <v>3085</v>
      </c>
      <c r="Z102" s="11">
        <f t="shared" si="19"/>
        <v>26500</v>
      </c>
      <c r="AA102" s="10">
        <f t="shared" si="20"/>
        <v>0</v>
      </c>
      <c r="AB102" s="3"/>
    </row>
    <row r="103" spans="1:28" ht="15.75" customHeight="1" x14ac:dyDescent="0.25">
      <c r="A103" s="7">
        <v>99</v>
      </c>
      <c r="B103" s="12" t="s">
        <v>788</v>
      </c>
      <c r="C103" s="13">
        <v>45408</v>
      </c>
      <c r="D103" s="13">
        <v>45657</v>
      </c>
      <c r="E103" s="6" t="s">
        <v>214</v>
      </c>
      <c r="F103" s="6" t="s">
        <v>115</v>
      </c>
      <c r="G103" s="10">
        <v>10121.700000000001</v>
      </c>
      <c r="H103" s="10"/>
      <c r="I103" s="10">
        <f>4863.7+5258</f>
        <v>10121.700000000001</v>
      </c>
      <c r="J103" s="10"/>
      <c r="K103" s="10"/>
      <c r="L103" s="10"/>
      <c r="M103" s="10"/>
      <c r="N103" s="10"/>
      <c r="O103" s="10"/>
      <c r="P103" s="10"/>
      <c r="Q103" s="10"/>
      <c r="R103" s="10">
        <f>4863.7+5258</f>
        <v>10121.700000000001</v>
      </c>
      <c r="S103" s="10"/>
      <c r="T103" s="10"/>
      <c r="U103" s="10"/>
      <c r="V103" s="10"/>
      <c r="W103" s="10"/>
      <c r="X103" s="10"/>
      <c r="Y103" s="10"/>
      <c r="Z103" s="11">
        <f t="shared" si="19"/>
        <v>10121.700000000001</v>
      </c>
      <c r="AA103" s="10">
        <f t="shared" si="20"/>
        <v>0</v>
      </c>
      <c r="AB103" s="3"/>
    </row>
    <row r="104" spans="1:28" ht="15.75" customHeight="1" x14ac:dyDescent="0.25">
      <c r="A104" s="7">
        <v>100</v>
      </c>
      <c r="B104" s="12" t="s">
        <v>790</v>
      </c>
      <c r="C104" s="13">
        <v>45411</v>
      </c>
      <c r="D104" s="13">
        <v>45657</v>
      </c>
      <c r="E104" s="6" t="s">
        <v>791</v>
      </c>
      <c r="F104" s="6" t="s">
        <v>792</v>
      </c>
      <c r="G104" s="10">
        <v>3525</v>
      </c>
      <c r="H104" s="10"/>
      <c r="I104" s="10"/>
      <c r="J104" s="10"/>
      <c r="K104" s="10"/>
      <c r="L104" s="10"/>
      <c r="M104" s="10"/>
      <c r="N104" s="10"/>
      <c r="O104" s="10"/>
      <c r="P104" s="10">
        <v>3525</v>
      </c>
      <c r="Q104" s="10"/>
      <c r="R104" s="10"/>
      <c r="S104" s="10"/>
      <c r="T104" s="10"/>
      <c r="U104" s="10"/>
      <c r="V104" s="10"/>
      <c r="W104" s="10"/>
      <c r="X104" s="10"/>
      <c r="Y104" s="10">
        <v>3525</v>
      </c>
      <c r="Z104" s="11">
        <f t="shared" si="19"/>
        <v>3525</v>
      </c>
      <c r="AA104" s="10">
        <f t="shared" si="20"/>
        <v>0</v>
      </c>
      <c r="AB104" s="3"/>
    </row>
    <row r="105" spans="1:28" ht="24.75" customHeight="1" x14ac:dyDescent="0.25">
      <c r="A105" s="7">
        <v>101</v>
      </c>
      <c r="B105" s="12" t="s">
        <v>797</v>
      </c>
      <c r="C105" s="13">
        <v>45390</v>
      </c>
      <c r="D105" s="13">
        <v>45657</v>
      </c>
      <c r="E105" s="6" t="s">
        <v>798</v>
      </c>
      <c r="F105" s="6" t="s">
        <v>799</v>
      </c>
      <c r="G105" s="10">
        <v>156000</v>
      </c>
      <c r="H105" s="10"/>
      <c r="I105" s="10"/>
      <c r="J105" s="10"/>
      <c r="K105" s="10"/>
      <c r="L105" s="10"/>
      <c r="M105" s="10"/>
      <c r="N105" s="10"/>
      <c r="O105" s="10"/>
      <c r="P105" s="10">
        <v>156000</v>
      </c>
      <c r="Q105" s="10"/>
      <c r="R105" s="10"/>
      <c r="S105" s="10"/>
      <c r="T105" s="10"/>
      <c r="U105" s="10"/>
      <c r="V105" s="10"/>
      <c r="W105" s="10"/>
      <c r="X105" s="10"/>
      <c r="Y105" s="10">
        <v>156000</v>
      </c>
      <c r="Z105" s="11">
        <f t="shared" si="19"/>
        <v>156000</v>
      </c>
      <c r="AA105" s="10">
        <f t="shared" si="20"/>
        <v>0</v>
      </c>
      <c r="AB105" s="3"/>
    </row>
    <row r="106" spans="1:28" ht="17.25" customHeight="1" x14ac:dyDescent="0.25">
      <c r="A106" s="7">
        <v>102</v>
      </c>
      <c r="B106" s="12" t="s">
        <v>810</v>
      </c>
      <c r="C106" s="13">
        <v>45411</v>
      </c>
      <c r="D106" s="13">
        <v>45657</v>
      </c>
      <c r="E106" s="6" t="s">
        <v>694</v>
      </c>
      <c r="F106" s="6" t="s">
        <v>811</v>
      </c>
      <c r="G106" s="10">
        <v>1870</v>
      </c>
      <c r="H106" s="10">
        <v>1870</v>
      </c>
      <c r="I106" s="10"/>
      <c r="J106" s="10"/>
      <c r="K106" s="10"/>
      <c r="L106" s="10"/>
      <c r="M106" s="10"/>
      <c r="N106" s="10"/>
      <c r="O106" s="10"/>
      <c r="P106" s="10"/>
      <c r="Q106" s="10">
        <v>1870</v>
      </c>
      <c r="R106" s="10"/>
      <c r="S106" s="10"/>
      <c r="T106" s="10"/>
      <c r="U106" s="10"/>
      <c r="V106" s="10"/>
      <c r="W106" s="10"/>
      <c r="X106" s="10"/>
      <c r="Y106" s="10"/>
      <c r="Z106" s="11">
        <f t="shared" si="19"/>
        <v>1870</v>
      </c>
      <c r="AA106" s="10">
        <f t="shared" si="20"/>
        <v>0</v>
      </c>
      <c r="AB106" s="3"/>
    </row>
    <row r="107" spans="1:28" ht="17.25" customHeight="1" x14ac:dyDescent="0.25">
      <c r="A107" s="7">
        <v>103</v>
      </c>
      <c r="B107" s="12" t="s">
        <v>823</v>
      </c>
      <c r="C107" s="13">
        <v>45412</v>
      </c>
      <c r="D107" s="13">
        <v>45657</v>
      </c>
      <c r="E107" s="6" t="s">
        <v>93</v>
      </c>
      <c r="F107" s="6" t="s">
        <v>115</v>
      </c>
      <c r="G107" s="10">
        <v>2225</v>
      </c>
      <c r="H107" s="10"/>
      <c r="I107" s="10">
        <v>2225</v>
      </c>
      <c r="J107" s="10"/>
      <c r="K107" s="10"/>
      <c r="L107" s="10"/>
      <c r="M107" s="10"/>
      <c r="N107" s="10"/>
      <c r="O107" s="10"/>
      <c r="P107" s="10"/>
      <c r="Q107" s="10"/>
      <c r="R107" s="10">
        <v>2225</v>
      </c>
      <c r="S107" s="10"/>
      <c r="T107" s="10"/>
      <c r="U107" s="10"/>
      <c r="V107" s="10"/>
      <c r="W107" s="10"/>
      <c r="X107" s="10"/>
      <c r="Y107" s="10"/>
      <c r="Z107" s="11">
        <f t="shared" si="19"/>
        <v>2225</v>
      </c>
      <c r="AA107" s="10">
        <f t="shared" si="20"/>
        <v>0</v>
      </c>
      <c r="AB107" s="3"/>
    </row>
    <row r="108" spans="1:28" ht="53.25" customHeight="1" x14ac:dyDescent="0.25">
      <c r="A108" s="7">
        <v>104</v>
      </c>
      <c r="B108" s="12" t="s">
        <v>829</v>
      </c>
      <c r="C108" s="25">
        <v>45418</v>
      </c>
      <c r="D108" s="13">
        <v>45657</v>
      </c>
      <c r="E108" s="6" t="s">
        <v>830</v>
      </c>
      <c r="F108" s="6" t="s">
        <v>826</v>
      </c>
      <c r="G108" s="10">
        <v>124200</v>
      </c>
      <c r="H108" s="10"/>
      <c r="I108" s="10"/>
      <c r="J108" s="10"/>
      <c r="K108" s="10"/>
      <c r="L108" s="10"/>
      <c r="M108" s="10">
        <v>80200</v>
      </c>
      <c r="N108" s="10"/>
      <c r="O108" s="10"/>
      <c r="P108" s="10"/>
      <c r="Q108" s="10"/>
      <c r="R108" s="10"/>
      <c r="S108" s="10"/>
      <c r="T108" s="10"/>
      <c r="U108" s="10"/>
      <c r="V108" s="10">
        <v>80200</v>
      </c>
      <c r="W108" s="10"/>
      <c r="X108" s="10"/>
      <c r="Y108" s="10"/>
      <c r="Z108" s="11">
        <f t="shared" si="19"/>
        <v>80200</v>
      </c>
      <c r="AA108" s="10">
        <f t="shared" si="20"/>
        <v>44000</v>
      </c>
      <c r="AB108" s="3"/>
    </row>
    <row r="109" spans="1:28" ht="18" customHeight="1" x14ac:dyDescent="0.25">
      <c r="A109" s="7">
        <v>105</v>
      </c>
      <c r="B109" s="12" t="s">
        <v>828</v>
      </c>
      <c r="C109" s="25">
        <v>45414</v>
      </c>
      <c r="D109" s="13">
        <v>45657</v>
      </c>
      <c r="E109" s="6" t="s">
        <v>731</v>
      </c>
      <c r="F109" s="6" t="s">
        <v>486</v>
      </c>
      <c r="G109" s="10">
        <v>24375</v>
      </c>
      <c r="H109" s="10"/>
      <c r="I109" s="10"/>
      <c r="J109" s="10"/>
      <c r="K109" s="10"/>
      <c r="L109" s="10"/>
      <c r="M109" s="10"/>
      <c r="N109" s="10"/>
      <c r="O109" s="10"/>
      <c r="P109" s="10">
        <v>24375</v>
      </c>
      <c r="Q109" s="10"/>
      <c r="R109" s="10"/>
      <c r="S109" s="10"/>
      <c r="T109" s="10"/>
      <c r="U109" s="10"/>
      <c r="V109" s="10"/>
      <c r="W109" s="10"/>
      <c r="X109" s="10"/>
      <c r="Y109" s="10">
        <v>24375</v>
      </c>
      <c r="Z109" s="11">
        <f t="shared" si="19"/>
        <v>24375</v>
      </c>
      <c r="AA109" s="10">
        <f t="shared" si="20"/>
        <v>0</v>
      </c>
      <c r="AB109" s="3"/>
    </row>
    <row r="110" spans="1:28" ht="40.5" customHeight="1" x14ac:dyDescent="0.25">
      <c r="A110" s="7">
        <v>106</v>
      </c>
      <c r="B110" s="12" t="s">
        <v>841</v>
      </c>
      <c r="C110" s="25">
        <v>45420</v>
      </c>
      <c r="D110" s="13">
        <v>45657</v>
      </c>
      <c r="E110" s="6" t="s">
        <v>842</v>
      </c>
      <c r="F110" s="6" t="s">
        <v>843</v>
      </c>
      <c r="G110" s="10">
        <v>124620</v>
      </c>
      <c r="H110" s="10"/>
      <c r="I110" s="10"/>
      <c r="J110" s="10"/>
      <c r="K110" s="10"/>
      <c r="L110" s="10"/>
      <c r="M110" s="10">
        <v>14620</v>
      </c>
      <c r="N110" s="10"/>
      <c r="O110" s="10"/>
      <c r="P110" s="10"/>
      <c r="Q110" s="10"/>
      <c r="R110" s="10"/>
      <c r="S110" s="10"/>
      <c r="T110" s="10"/>
      <c r="U110" s="10"/>
      <c r="V110" s="10">
        <v>14620</v>
      </c>
      <c r="W110" s="10"/>
      <c r="X110" s="10"/>
      <c r="Y110" s="10"/>
      <c r="Z110" s="11">
        <f t="shared" si="19"/>
        <v>14620</v>
      </c>
      <c r="AA110" s="10">
        <f t="shared" si="20"/>
        <v>110000</v>
      </c>
      <c r="AB110" s="3"/>
    </row>
    <row r="111" spans="1:28" ht="40.5" customHeight="1" x14ac:dyDescent="0.25">
      <c r="A111" s="7">
        <v>107</v>
      </c>
      <c r="B111" s="12" t="s">
        <v>844</v>
      </c>
      <c r="C111" s="25">
        <v>45421</v>
      </c>
      <c r="D111" s="13">
        <v>45657</v>
      </c>
      <c r="E111" s="6" t="s">
        <v>845</v>
      </c>
      <c r="F111" s="6" t="s">
        <v>846</v>
      </c>
      <c r="G111" s="10">
        <v>84250</v>
      </c>
      <c r="H111" s="10"/>
      <c r="I111" s="10"/>
      <c r="J111" s="10"/>
      <c r="K111" s="10"/>
      <c r="L111" s="10"/>
      <c r="M111" s="10">
        <v>9930</v>
      </c>
      <c r="N111" s="10"/>
      <c r="O111" s="10"/>
      <c r="P111" s="10"/>
      <c r="Q111" s="10"/>
      <c r="R111" s="10"/>
      <c r="S111" s="10"/>
      <c r="T111" s="10"/>
      <c r="U111" s="10"/>
      <c r="V111" s="10">
        <v>9930</v>
      </c>
      <c r="W111" s="10"/>
      <c r="X111" s="10"/>
      <c r="Y111" s="10"/>
      <c r="Z111" s="11">
        <f t="shared" si="19"/>
        <v>9930</v>
      </c>
      <c r="AA111" s="10">
        <f t="shared" si="20"/>
        <v>74320</v>
      </c>
      <c r="AB111" s="3"/>
    </row>
    <row r="112" spans="1:28" ht="15.75" customHeight="1" x14ac:dyDescent="0.25">
      <c r="A112" s="7">
        <v>108</v>
      </c>
      <c r="B112" s="12" t="s">
        <v>847</v>
      </c>
      <c r="C112" s="25">
        <v>45419</v>
      </c>
      <c r="D112" s="13">
        <v>45657</v>
      </c>
      <c r="E112" s="6" t="s">
        <v>848</v>
      </c>
      <c r="F112" s="6" t="s">
        <v>849</v>
      </c>
      <c r="G112" s="10">
        <v>600</v>
      </c>
      <c r="H112" s="10"/>
      <c r="I112" s="10"/>
      <c r="J112" s="10"/>
      <c r="K112" s="10">
        <v>600</v>
      </c>
      <c r="L112" s="10"/>
      <c r="M112" s="10"/>
      <c r="N112" s="10"/>
      <c r="O112" s="10"/>
      <c r="P112" s="10"/>
      <c r="Q112" s="10"/>
      <c r="R112" s="10"/>
      <c r="S112" s="10"/>
      <c r="T112" s="10">
        <v>600</v>
      </c>
      <c r="U112" s="10"/>
      <c r="V112" s="10"/>
      <c r="W112" s="10"/>
      <c r="X112" s="10"/>
      <c r="Y112" s="10"/>
      <c r="Z112" s="11">
        <f t="shared" si="19"/>
        <v>600</v>
      </c>
      <c r="AA112" s="10">
        <f t="shared" si="20"/>
        <v>0</v>
      </c>
      <c r="AB112" s="3"/>
    </row>
    <row r="113" spans="1:28" ht="39.75" customHeight="1" x14ac:dyDescent="0.25">
      <c r="A113" s="7">
        <v>109</v>
      </c>
      <c r="B113" s="12" t="s">
        <v>850</v>
      </c>
      <c r="C113" s="25">
        <v>45422</v>
      </c>
      <c r="D113" s="13">
        <v>45657</v>
      </c>
      <c r="E113" s="6" t="s">
        <v>851</v>
      </c>
      <c r="F113" s="6" t="s">
        <v>852</v>
      </c>
      <c r="G113" s="10">
        <v>71194</v>
      </c>
      <c r="H113" s="10"/>
      <c r="I113" s="10"/>
      <c r="J113" s="10"/>
      <c r="K113" s="10"/>
      <c r="L113" s="10"/>
      <c r="M113" s="10">
        <v>19206</v>
      </c>
      <c r="N113" s="10"/>
      <c r="O113" s="10"/>
      <c r="P113" s="10"/>
      <c r="Q113" s="10"/>
      <c r="R113" s="10"/>
      <c r="S113" s="10"/>
      <c r="T113" s="10"/>
      <c r="U113" s="10"/>
      <c r="V113" s="10">
        <v>19206</v>
      </c>
      <c r="W113" s="10"/>
      <c r="X113" s="10"/>
      <c r="Y113" s="10"/>
      <c r="Z113" s="11">
        <f t="shared" si="19"/>
        <v>19206</v>
      </c>
      <c r="AA113" s="10">
        <f t="shared" si="20"/>
        <v>51988</v>
      </c>
      <c r="AB113" s="3"/>
    </row>
    <row r="114" spans="1:28" ht="18" customHeight="1" x14ac:dyDescent="0.25">
      <c r="A114" s="7">
        <v>110</v>
      </c>
      <c r="B114" s="12" t="s">
        <v>857</v>
      </c>
      <c r="C114" s="25">
        <v>45425</v>
      </c>
      <c r="D114" s="13">
        <v>45657</v>
      </c>
      <c r="E114" s="6" t="s">
        <v>60</v>
      </c>
      <c r="F114" s="6" t="s">
        <v>61</v>
      </c>
      <c r="G114" s="10">
        <v>2520</v>
      </c>
      <c r="H114" s="10">
        <v>2520</v>
      </c>
      <c r="I114" s="10"/>
      <c r="J114" s="10"/>
      <c r="K114" s="10"/>
      <c r="L114" s="10"/>
      <c r="M114" s="10"/>
      <c r="N114" s="10"/>
      <c r="O114" s="10"/>
      <c r="P114" s="10"/>
      <c r="Q114" s="10">
        <v>2520</v>
      </c>
      <c r="R114" s="10"/>
      <c r="S114" s="10"/>
      <c r="T114" s="10"/>
      <c r="U114" s="10"/>
      <c r="V114" s="10"/>
      <c r="W114" s="10"/>
      <c r="X114" s="10"/>
      <c r="Y114" s="10"/>
      <c r="Z114" s="11">
        <f t="shared" si="19"/>
        <v>2520</v>
      </c>
      <c r="AA114" s="10">
        <f t="shared" si="20"/>
        <v>0</v>
      </c>
      <c r="AB114" s="3"/>
    </row>
    <row r="115" spans="1:28" ht="25.5" customHeight="1" x14ac:dyDescent="0.25">
      <c r="A115" s="7">
        <v>111</v>
      </c>
      <c r="B115" s="12" t="s">
        <v>868</v>
      </c>
      <c r="C115" s="25">
        <v>45426</v>
      </c>
      <c r="D115" s="13">
        <v>45657</v>
      </c>
      <c r="E115" s="6" t="s">
        <v>60</v>
      </c>
      <c r="F115" s="6" t="s">
        <v>870</v>
      </c>
      <c r="G115" s="10">
        <v>3920</v>
      </c>
      <c r="H115" s="10">
        <v>3920</v>
      </c>
      <c r="I115" s="10"/>
      <c r="J115" s="10"/>
      <c r="K115" s="10"/>
      <c r="L115" s="10"/>
      <c r="M115" s="10"/>
      <c r="N115" s="10"/>
      <c r="O115" s="10"/>
      <c r="P115" s="10"/>
      <c r="Q115" s="10">
        <v>3920</v>
      </c>
      <c r="R115" s="10"/>
      <c r="S115" s="10"/>
      <c r="T115" s="10"/>
      <c r="U115" s="10"/>
      <c r="V115" s="10"/>
      <c r="W115" s="10"/>
      <c r="X115" s="10"/>
      <c r="Y115" s="10"/>
      <c r="Z115" s="11">
        <f t="shared" si="19"/>
        <v>3920</v>
      </c>
      <c r="AA115" s="10">
        <f t="shared" si="20"/>
        <v>0</v>
      </c>
      <c r="AB115" s="3"/>
    </row>
    <row r="116" spans="1:28" ht="18.75" customHeight="1" x14ac:dyDescent="0.25">
      <c r="A116" s="7">
        <v>112</v>
      </c>
      <c r="B116" s="12" t="s">
        <v>871</v>
      </c>
      <c r="C116" s="25">
        <v>45427</v>
      </c>
      <c r="D116" s="13">
        <v>45657</v>
      </c>
      <c r="E116" s="6" t="s">
        <v>872</v>
      </c>
      <c r="F116" s="6" t="s">
        <v>873</v>
      </c>
      <c r="G116" s="10">
        <v>4650</v>
      </c>
      <c r="H116" s="10"/>
      <c r="I116" s="10"/>
      <c r="J116" s="10"/>
      <c r="K116" s="10"/>
      <c r="L116" s="10">
        <v>1650</v>
      </c>
      <c r="M116" s="10"/>
      <c r="N116" s="10"/>
      <c r="O116" s="10"/>
      <c r="P116" s="10">
        <v>3000</v>
      </c>
      <c r="Q116" s="10"/>
      <c r="R116" s="10"/>
      <c r="S116" s="10"/>
      <c r="T116" s="10"/>
      <c r="U116" s="10">
        <v>1650</v>
      </c>
      <c r="V116" s="10"/>
      <c r="W116" s="10"/>
      <c r="X116" s="10"/>
      <c r="Y116" s="10">
        <v>3000</v>
      </c>
      <c r="Z116" s="11">
        <f t="shared" si="19"/>
        <v>4650</v>
      </c>
      <c r="AA116" s="10">
        <f t="shared" si="20"/>
        <v>0</v>
      </c>
      <c r="AB116" s="3"/>
    </row>
    <row r="117" spans="1:28" ht="18.75" customHeight="1" x14ac:dyDescent="0.25">
      <c r="A117" s="7">
        <v>113</v>
      </c>
      <c r="B117" s="12" t="s">
        <v>874</v>
      </c>
      <c r="C117" s="25">
        <v>45427</v>
      </c>
      <c r="D117" s="13">
        <v>45657</v>
      </c>
      <c r="E117" s="6" t="s">
        <v>214</v>
      </c>
      <c r="F117" s="6" t="s">
        <v>115</v>
      </c>
      <c r="G117" s="10">
        <v>8814</v>
      </c>
      <c r="H117" s="10"/>
      <c r="I117" s="10">
        <v>8814</v>
      </c>
      <c r="J117" s="10"/>
      <c r="K117" s="10"/>
      <c r="L117" s="10"/>
      <c r="M117" s="10"/>
      <c r="N117" s="10"/>
      <c r="O117" s="10"/>
      <c r="P117" s="10"/>
      <c r="Q117" s="10"/>
      <c r="R117" s="10">
        <v>8814</v>
      </c>
      <c r="S117" s="10"/>
      <c r="T117" s="10"/>
      <c r="U117" s="10"/>
      <c r="V117" s="10"/>
      <c r="W117" s="10"/>
      <c r="X117" s="10"/>
      <c r="Y117" s="10"/>
      <c r="Z117" s="11">
        <f t="shared" si="19"/>
        <v>8814</v>
      </c>
      <c r="AA117" s="10">
        <f t="shared" si="20"/>
        <v>0</v>
      </c>
      <c r="AB117" s="3"/>
    </row>
    <row r="118" spans="1:28" ht="18.75" customHeight="1" x14ac:dyDescent="0.25">
      <c r="A118" s="7">
        <v>114</v>
      </c>
      <c r="B118" s="12" t="s">
        <v>891</v>
      </c>
      <c r="C118" s="25">
        <v>45436</v>
      </c>
      <c r="D118" s="13">
        <v>45657</v>
      </c>
      <c r="E118" s="6" t="s">
        <v>93</v>
      </c>
      <c r="F118" s="6" t="s">
        <v>115</v>
      </c>
      <c r="G118" s="10">
        <v>2890</v>
      </c>
      <c r="H118" s="10">
        <v>2890</v>
      </c>
      <c r="I118" s="10"/>
      <c r="J118" s="10"/>
      <c r="K118" s="10"/>
      <c r="L118" s="10"/>
      <c r="M118" s="10"/>
      <c r="N118" s="10"/>
      <c r="O118" s="10"/>
      <c r="P118" s="10"/>
      <c r="Q118" s="10">
        <v>2890</v>
      </c>
      <c r="R118" s="10"/>
      <c r="S118" s="10"/>
      <c r="T118" s="10"/>
      <c r="U118" s="10"/>
      <c r="V118" s="10"/>
      <c r="W118" s="10"/>
      <c r="X118" s="10"/>
      <c r="Y118" s="10"/>
      <c r="Z118" s="11">
        <f t="shared" si="19"/>
        <v>2890</v>
      </c>
      <c r="AA118" s="10">
        <f t="shared" si="20"/>
        <v>0</v>
      </c>
      <c r="AB118" s="3"/>
    </row>
    <row r="119" spans="1:28" ht="15" customHeight="1" x14ac:dyDescent="0.25">
      <c r="A119" s="7">
        <v>115</v>
      </c>
      <c r="B119" s="12" t="s">
        <v>892</v>
      </c>
      <c r="C119" s="25">
        <v>45439</v>
      </c>
      <c r="D119" s="13">
        <v>45657</v>
      </c>
      <c r="E119" s="6" t="s">
        <v>93</v>
      </c>
      <c r="F119" s="6" t="s">
        <v>115</v>
      </c>
      <c r="G119" s="10">
        <v>2737</v>
      </c>
      <c r="H119" s="10"/>
      <c r="I119" s="10">
        <v>2737</v>
      </c>
      <c r="J119" s="10"/>
      <c r="K119" s="10"/>
      <c r="L119" s="10"/>
      <c r="M119" s="10"/>
      <c r="N119" s="10"/>
      <c r="O119" s="10"/>
      <c r="P119" s="10"/>
      <c r="Q119" s="10"/>
      <c r="R119" s="10">
        <v>2737</v>
      </c>
      <c r="S119" s="10"/>
      <c r="T119" s="10"/>
      <c r="U119" s="10"/>
      <c r="V119" s="10"/>
      <c r="W119" s="10"/>
      <c r="X119" s="10"/>
      <c r="Y119" s="10"/>
      <c r="Z119" s="11">
        <f t="shared" si="19"/>
        <v>2737</v>
      </c>
      <c r="AA119" s="10">
        <f t="shared" si="20"/>
        <v>0</v>
      </c>
      <c r="AB119" s="3"/>
    </row>
    <row r="120" spans="1:28" ht="15.75" customHeight="1" x14ac:dyDescent="0.25">
      <c r="A120" s="7">
        <v>116</v>
      </c>
      <c r="B120" s="12" t="s">
        <v>893</v>
      </c>
      <c r="C120" s="25">
        <v>45436</v>
      </c>
      <c r="D120" s="13">
        <v>45657</v>
      </c>
      <c r="E120" s="6" t="s">
        <v>93</v>
      </c>
      <c r="F120" s="6" t="s">
        <v>894</v>
      </c>
      <c r="G120" s="10">
        <v>9260</v>
      </c>
      <c r="H120" s="10">
        <v>9260</v>
      </c>
      <c r="I120" s="10"/>
      <c r="J120" s="10"/>
      <c r="K120" s="10"/>
      <c r="L120" s="10"/>
      <c r="M120" s="10"/>
      <c r="N120" s="10"/>
      <c r="O120" s="10"/>
      <c r="P120" s="10"/>
      <c r="Q120" s="10">
        <v>9260</v>
      </c>
      <c r="R120" s="10"/>
      <c r="S120" s="10"/>
      <c r="T120" s="10"/>
      <c r="U120" s="10"/>
      <c r="V120" s="10"/>
      <c r="W120" s="10"/>
      <c r="X120" s="10"/>
      <c r="Y120" s="10"/>
      <c r="Z120" s="11">
        <f t="shared" si="19"/>
        <v>9260</v>
      </c>
      <c r="AA120" s="10">
        <f t="shared" si="20"/>
        <v>0</v>
      </c>
      <c r="AB120" s="3"/>
    </row>
    <row r="121" spans="1:28" ht="15.75" customHeight="1" x14ac:dyDescent="0.25">
      <c r="A121" s="7">
        <v>117</v>
      </c>
      <c r="B121" s="12" t="s">
        <v>941</v>
      </c>
      <c r="C121" s="25">
        <v>45442</v>
      </c>
      <c r="D121" s="13">
        <v>45657</v>
      </c>
      <c r="E121" s="6" t="s">
        <v>869</v>
      </c>
      <c r="F121" s="6" t="s">
        <v>942</v>
      </c>
      <c r="G121" s="10">
        <v>880</v>
      </c>
      <c r="H121" s="10"/>
      <c r="I121" s="10">
        <v>880</v>
      </c>
      <c r="J121" s="10"/>
      <c r="K121" s="10"/>
      <c r="L121" s="10"/>
      <c r="M121" s="10"/>
      <c r="N121" s="10"/>
      <c r="O121" s="10"/>
      <c r="P121" s="10"/>
      <c r="Q121" s="10"/>
      <c r="R121" s="10">
        <v>880</v>
      </c>
      <c r="S121" s="10"/>
      <c r="T121" s="10"/>
      <c r="U121" s="10"/>
      <c r="V121" s="10"/>
      <c r="W121" s="10"/>
      <c r="X121" s="10"/>
      <c r="Y121" s="10"/>
      <c r="Z121" s="11">
        <f t="shared" si="19"/>
        <v>880</v>
      </c>
      <c r="AA121" s="10">
        <f t="shared" si="20"/>
        <v>0</v>
      </c>
      <c r="AB121" s="3"/>
    </row>
    <row r="122" spans="1:28" ht="15.75" customHeight="1" x14ac:dyDescent="0.25">
      <c r="A122" s="7">
        <v>118</v>
      </c>
      <c r="B122" s="12" t="s">
        <v>959</v>
      </c>
      <c r="C122" s="25">
        <v>45450</v>
      </c>
      <c r="D122" s="13">
        <v>45657</v>
      </c>
      <c r="E122" s="6" t="s">
        <v>93</v>
      </c>
      <c r="F122" s="6" t="s">
        <v>115</v>
      </c>
      <c r="G122" s="10">
        <v>1200</v>
      </c>
      <c r="H122" s="10"/>
      <c r="I122" s="10">
        <v>1200</v>
      </c>
      <c r="J122" s="10"/>
      <c r="K122" s="10"/>
      <c r="L122" s="10"/>
      <c r="M122" s="10"/>
      <c r="N122" s="10"/>
      <c r="O122" s="10"/>
      <c r="P122" s="10"/>
      <c r="Q122" s="10"/>
      <c r="R122" s="10">
        <v>1200</v>
      </c>
      <c r="S122" s="10"/>
      <c r="T122" s="10"/>
      <c r="U122" s="10"/>
      <c r="V122" s="10"/>
      <c r="W122" s="10"/>
      <c r="X122" s="10"/>
      <c r="Y122" s="10"/>
      <c r="Z122" s="11">
        <f t="shared" si="19"/>
        <v>1200</v>
      </c>
      <c r="AA122" s="10">
        <f t="shared" si="20"/>
        <v>0</v>
      </c>
      <c r="AB122" s="3"/>
    </row>
    <row r="123" spans="1:28" ht="15.75" customHeight="1" x14ac:dyDescent="0.25">
      <c r="A123" s="7">
        <v>119</v>
      </c>
      <c r="B123" s="12" t="s">
        <v>960</v>
      </c>
      <c r="C123" s="25">
        <v>45450</v>
      </c>
      <c r="D123" s="13">
        <v>45657</v>
      </c>
      <c r="E123" s="6" t="s">
        <v>93</v>
      </c>
      <c r="F123" s="6" t="s">
        <v>961</v>
      </c>
      <c r="G123" s="10">
        <v>1600</v>
      </c>
      <c r="H123" s="10"/>
      <c r="I123" s="10"/>
      <c r="J123" s="10">
        <v>1600</v>
      </c>
      <c r="K123" s="10"/>
      <c r="L123" s="10"/>
      <c r="M123" s="10"/>
      <c r="N123" s="10"/>
      <c r="O123" s="10"/>
      <c r="P123" s="10"/>
      <c r="Q123" s="10"/>
      <c r="R123" s="10"/>
      <c r="S123" s="10">
        <v>1600</v>
      </c>
      <c r="T123" s="10"/>
      <c r="U123" s="10"/>
      <c r="V123" s="10"/>
      <c r="W123" s="10"/>
      <c r="X123" s="10"/>
      <c r="Y123" s="10"/>
      <c r="Z123" s="11">
        <f t="shared" si="19"/>
        <v>1600</v>
      </c>
      <c r="AA123" s="10">
        <f t="shared" si="20"/>
        <v>0</v>
      </c>
      <c r="AB123" s="3"/>
    </row>
    <row r="124" spans="1:28" ht="15.75" customHeight="1" x14ac:dyDescent="0.25">
      <c r="A124" s="7">
        <v>120</v>
      </c>
      <c r="B124" s="12" t="s">
        <v>963</v>
      </c>
      <c r="C124" s="25">
        <v>45448</v>
      </c>
      <c r="D124" s="13">
        <v>45657</v>
      </c>
      <c r="E124" s="6" t="s">
        <v>694</v>
      </c>
      <c r="F124" s="6" t="s">
        <v>964</v>
      </c>
      <c r="G124" s="10">
        <v>725</v>
      </c>
      <c r="H124" s="10"/>
      <c r="I124" s="10">
        <v>725</v>
      </c>
      <c r="J124" s="10"/>
      <c r="K124" s="10"/>
      <c r="L124" s="10"/>
      <c r="M124" s="10"/>
      <c r="N124" s="10"/>
      <c r="O124" s="10"/>
      <c r="P124" s="10"/>
      <c r="Q124" s="10"/>
      <c r="R124" s="10">
        <v>725</v>
      </c>
      <c r="S124" s="10"/>
      <c r="T124" s="10"/>
      <c r="U124" s="10"/>
      <c r="V124" s="10"/>
      <c r="W124" s="10"/>
      <c r="X124" s="10"/>
      <c r="Y124" s="10"/>
      <c r="Z124" s="11">
        <f t="shared" si="19"/>
        <v>725</v>
      </c>
      <c r="AA124" s="10">
        <f t="shared" si="20"/>
        <v>0</v>
      </c>
      <c r="AB124" s="3"/>
    </row>
    <row r="125" spans="1:28" ht="15.75" customHeight="1" x14ac:dyDescent="0.25">
      <c r="A125" s="7">
        <v>121</v>
      </c>
      <c r="B125" s="12" t="s">
        <v>965</v>
      </c>
      <c r="C125" s="25">
        <v>45450</v>
      </c>
      <c r="D125" s="13">
        <v>45657</v>
      </c>
      <c r="E125" s="6" t="s">
        <v>694</v>
      </c>
      <c r="F125" s="6" t="s">
        <v>115</v>
      </c>
      <c r="G125" s="10">
        <v>2425</v>
      </c>
      <c r="H125" s="10"/>
      <c r="I125" s="10">
        <v>1615</v>
      </c>
      <c r="J125" s="10">
        <v>810</v>
      </c>
      <c r="K125" s="10"/>
      <c r="L125" s="10"/>
      <c r="M125" s="10"/>
      <c r="N125" s="10"/>
      <c r="O125" s="10"/>
      <c r="P125" s="10"/>
      <c r="Q125" s="10"/>
      <c r="R125" s="10">
        <v>1615</v>
      </c>
      <c r="S125" s="10">
        <v>810</v>
      </c>
      <c r="T125" s="10"/>
      <c r="U125" s="10"/>
      <c r="V125" s="10"/>
      <c r="W125" s="10"/>
      <c r="X125" s="10"/>
      <c r="Y125" s="10"/>
      <c r="Z125" s="11">
        <f t="shared" si="19"/>
        <v>2425</v>
      </c>
      <c r="AA125" s="10">
        <f t="shared" si="20"/>
        <v>0</v>
      </c>
      <c r="AB125" s="3"/>
    </row>
    <row r="126" spans="1:28" ht="15.75" customHeight="1" x14ac:dyDescent="0.25">
      <c r="A126" s="7">
        <v>122</v>
      </c>
      <c r="B126" s="12" t="s">
        <v>972</v>
      </c>
      <c r="C126" s="25">
        <v>45461</v>
      </c>
      <c r="D126" s="13">
        <v>45657</v>
      </c>
      <c r="E126" s="6" t="s">
        <v>214</v>
      </c>
      <c r="F126" s="6" t="s">
        <v>115</v>
      </c>
      <c r="G126" s="10">
        <v>8331</v>
      </c>
      <c r="H126" s="10"/>
      <c r="I126" s="10">
        <v>8331</v>
      </c>
      <c r="J126" s="10"/>
      <c r="K126" s="10"/>
      <c r="L126" s="10"/>
      <c r="M126" s="10"/>
      <c r="N126" s="10"/>
      <c r="O126" s="10"/>
      <c r="P126" s="10"/>
      <c r="Q126" s="10"/>
      <c r="R126" s="10">
        <v>8331</v>
      </c>
      <c r="S126" s="10"/>
      <c r="T126" s="10"/>
      <c r="U126" s="10"/>
      <c r="V126" s="10"/>
      <c r="W126" s="10"/>
      <c r="X126" s="10"/>
      <c r="Y126" s="10"/>
      <c r="Z126" s="11">
        <f t="shared" si="19"/>
        <v>8331</v>
      </c>
      <c r="AA126" s="10">
        <f t="shared" si="20"/>
        <v>0</v>
      </c>
      <c r="AB126" s="3"/>
    </row>
    <row r="127" spans="1:28" ht="15.75" customHeight="1" x14ac:dyDescent="0.25">
      <c r="A127" s="7">
        <v>123</v>
      </c>
      <c r="B127" s="12" t="s">
        <v>981</v>
      </c>
      <c r="C127" s="25">
        <v>45462</v>
      </c>
      <c r="D127" s="13">
        <v>45657</v>
      </c>
      <c r="E127" s="6" t="s">
        <v>93</v>
      </c>
      <c r="F127" s="6" t="s">
        <v>115</v>
      </c>
      <c r="G127" s="10">
        <v>4767</v>
      </c>
      <c r="H127" s="10">
        <v>4767</v>
      </c>
      <c r="I127" s="10"/>
      <c r="J127" s="10"/>
      <c r="K127" s="10"/>
      <c r="L127" s="10"/>
      <c r="M127" s="10"/>
      <c r="N127" s="10"/>
      <c r="O127" s="10"/>
      <c r="P127" s="10"/>
      <c r="Q127" s="10">
        <v>4767</v>
      </c>
      <c r="R127" s="10"/>
      <c r="S127" s="10"/>
      <c r="T127" s="10"/>
      <c r="U127" s="10"/>
      <c r="V127" s="10"/>
      <c r="W127" s="10"/>
      <c r="X127" s="10"/>
      <c r="Y127" s="10"/>
      <c r="Z127" s="11">
        <f t="shared" si="19"/>
        <v>4767</v>
      </c>
      <c r="AA127" s="10">
        <f t="shared" si="20"/>
        <v>0</v>
      </c>
      <c r="AB127" s="3"/>
    </row>
    <row r="128" spans="1:28" ht="15.75" customHeight="1" x14ac:dyDescent="0.25">
      <c r="A128" s="7">
        <v>124</v>
      </c>
      <c r="B128" s="12" t="s">
        <v>985</v>
      </c>
      <c r="C128" s="25">
        <v>45467</v>
      </c>
      <c r="D128" s="13">
        <v>45657</v>
      </c>
      <c r="E128" s="6" t="s">
        <v>93</v>
      </c>
      <c r="F128" s="6" t="s">
        <v>115</v>
      </c>
      <c r="G128" s="10">
        <v>1516</v>
      </c>
      <c r="H128" s="10"/>
      <c r="I128" s="10">
        <v>1516</v>
      </c>
      <c r="J128" s="10"/>
      <c r="K128" s="10"/>
      <c r="L128" s="10"/>
      <c r="M128" s="10"/>
      <c r="N128" s="10"/>
      <c r="O128" s="10"/>
      <c r="P128" s="10"/>
      <c r="Q128" s="10"/>
      <c r="R128" s="10">
        <v>1516</v>
      </c>
      <c r="S128" s="10"/>
      <c r="T128" s="10"/>
      <c r="U128" s="10"/>
      <c r="V128" s="10"/>
      <c r="W128" s="10"/>
      <c r="X128" s="10"/>
      <c r="Y128" s="10"/>
      <c r="Z128" s="11">
        <f t="shared" si="19"/>
        <v>1516</v>
      </c>
      <c r="AA128" s="10">
        <f t="shared" si="20"/>
        <v>0</v>
      </c>
      <c r="AB128" s="3"/>
    </row>
    <row r="129" spans="1:28" ht="39.75" customHeight="1" x14ac:dyDescent="0.25">
      <c r="A129" s="7">
        <v>125</v>
      </c>
      <c r="B129" s="12" t="s">
        <v>987</v>
      </c>
      <c r="C129" s="25">
        <v>45469</v>
      </c>
      <c r="D129" s="13">
        <v>45657</v>
      </c>
      <c r="E129" s="6" t="s">
        <v>93</v>
      </c>
      <c r="F129" s="5" t="s">
        <v>988</v>
      </c>
      <c r="G129" s="10">
        <v>8700</v>
      </c>
      <c r="H129" s="10"/>
      <c r="I129" s="10"/>
      <c r="J129" s="10"/>
      <c r="K129" s="10"/>
      <c r="L129" s="10"/>
      <c r="M129" s="10">
        <v>8700</v>
      </c>
      <c r="N129" s="10"/>
      <c r="O129" s="10"/>
      <c r="P129" s="10"/>
      <c r="Q129" s="10"/>
      <c r="R129" s="10"/>
      <c r="S129" s="10"/>
      <c r="T129" s="10"/>
      <c r="U129" s="10"/>
      <c r="V129" s="27">
        <v>8700</v>
      </c>
      <c r="W129" s="10"/>
      <c r="X129" s="10"/>
      <c r="Y129" s="10"/>
      <c r="Z129" s="11">
        <f t="shared" si="19"/>
        <v>8700</v>
      </c>
      <c r="AA129" s="10">
        <f t="shared" si="20"/>
        <v>0</v>
      </c>
      <c r="AB129" s="3"/>
    </row>
    <row r="130" spans="1:28" ht="16.5" customHeight="1" x14ac:dyDescent="0.25">
      <c r="A130" s="7">
        <v>126</v>
      </c>
      <c r="B130" s="12" t="s">
        <v>1011</v>
      </c>
      <c r="C130" s="25">
        <v>45435</v>
      </c>
      <c r="D130" s="13">
        <v>45657</v>
      </c>
      <c r="E130" s="6" t="s">
        <v>731</v>
      </c>
      <c r="F130" s="5" t="s">
        <v>1012</v>
      </c>
      <c r="G130" s="10">
        <v>10538.1</v>
      </c>
      <c r="H130" s="10"/>
      <c r="I130" s="10"/>
      <c r="J130" s="10"/>
      <c r="K130" s="10"/>
      <c r="L130" s="10"/>
      <c r="M130" s="10"/>
      <c r="N130" s="10"/>
      <c r="O130" s="10"/>
      <c r="P130" s="10">
        <f>5348.1+5190</f>
        <v>10538.1</v>
      </c>
      <c r="Q130" s="10"/>
      <c r="R130" s="10"/>
      <c r="S130" s="10"/>
      <c r="T130" s="10"/>
      <c r="U130" s="10"/>
      <c r="V130" s="31"/>
      <c r="W130" s="10"/>
      <c r="X130" s="10"/>
      <c r="Y130" s="10">
        <f>5348.1+5190</f>
        <v>10538.1</v>
      </c>
      <c r="Z130" s="11">
        <f t="shared" si="19"/>
        <v>10538.1</v>
      </c>
      <c r="AA130" s="10">
        <f t="shared" si="20"/>
        <v>0</v>
      </c>
      <c r="AB130" s="3"/>
    </row>
    <row r="131" spans="1:28" ht="16.5" customHeight="1" x14ac:dyDescent="0.25">
      <c r="A131" s="7">
        <v>127</v>
      </c>
      <c r="B131" s="12" t="s">
        <v>1016</v>
      </c>
      <c r="C131" s="25">
        <v>45475</v>
      </c>
      <c r="D131" s="13">
        <v>45657</v>
      </c>
      <c r="E131" s="6" t="s">
        <v>1017</v>
      </c>
      <c r="F131" s="5" t="s">
        <v>1018</v>
      </c>
      <c r="G131" s="10">
        <v>7009.32</v>
      </c>
      <c r="H131" s="10"/>
      <c r="I131" s="10">
        <v>5020.7299999999996</v>
      </c>
      <c r="J131" s="10"/>
      <c r="K131" s="10"/>
      <c r="L131" s="10">
        <v>1988.59</v>
      </c>
      <c r="M131" s="10"/>
      <c r="N131" s="10"/>
      <c r="O131" s="10"/>
      <c r="P131" s="10"/>
      <c r="Q131" s="10"/>
      <c r="R131" s="10">
        <v>5020.7299999999996</v>
      </c>
      <c r="S131" s="10"/>
      <c r="T131" s="10"/>
      <c r="U131" s="10">
        <v>1988.59</v>
      </c>
      <c r="V131" s="31"/>
      <c r="W131" s="10"/>
      <c r="X131" s="10"/>
      <c r="Y131" s="10"/>
      <c r="Z131" s="11">
        <f t="shared" si="19"/>
        <v>7009.32</v>
      </c>
      <c r="AA131" s="10">
        <f t="shared" si="20"/>
        <v>0</v>
      </c>
      <c r="AB131" s="3"/>
    </row>
    <row r="132" spans="1:28" ht="16.5" customHeight="1" x14ac:dyDescent="0.25">
      <c r="A132" s="7">
        <v>128</v>
      </c>
      <c r="B132" s="12" t="s">
        <v>1019</v>
      </c>
      <c r="C132" s="25">
        <v>45432</v>
      </c>
      <c r="D132" s="13">
        <v>45657</v>
      </c>
      <c r="E132" s="6" t="s">
        <v>1017</v>
      </c>
      <c r="F132" s="5" t="s">
        <v>1020</v>
      </c>
      <c r="G132" s="10">
        <v>4050.23</v>
      </c>
      <c r="H132" s="10"/>
      <c r="I132" s="10">
        <v>1988.59</v>
      </c>
      <c r="J132" s="10"/>
      <c r="K132" s="10"/>
      <c r="L132" s="10">
        <v>2061.64</v>
      </c>
      <c r="M132" s="10"/>
      <c r="N132" s="10"/>
      <c r="O132" s="10"/>
      <c r="P132" s="10"/>
      <c r="Q132" s="10"/>
      <c r="R132" s="10">
        <v>1988.59</v>
      </c>
      <c r="S132" s="10"/>
      <c r="T132" s="10"/>
      <c r="U132" s="10">
        <v>2061.64</v>
      </c>
      <c r="V132" s="31"/>
      <c r="W132" s="10"/>
      <c r="X132" s="10"/>
      <c r="Y132" s="10"/>
      <c r="Z132" s="11">
        <f t="shared" si="19"/>
        <v>4050.2299999999996</v>
      </c>
      <c r="AA132" s="10">
        <f t="shared" si="20"/>
        <v>0</v>
      </c>
      <c r="AB132" s="3"/>
    </row>
    <row r="133" spans="1:28" ht="16.5" customHeight="1" x14ac:dyDescent="0.25">
      <c r="A133" s="7">
        <v>129</v>
      </c>
      <c r="B133" s="12" t="s">
        <v>1031</v>
      </c>
      <c r="C133" s="25">
        <v>45481</v>
      </c>
      <c r="D133" s="13">
        <v>45657</v>
      </c>
      <c r="E133" s="6" t="s">
        <v>731</v>
      </c>
      <c r="F133" s="5" t="s">
        <v>486</v>
      </c>
      <c r="G133" s="10">
        <v>22425</v>
      </c>
      <c r="H133" s="10"/>
      <c r="I133" s="10"/>
      <c r="J133" s="10"/>
      <c r="K133" s="10"/>
      <c r="L133" s="10">
        <v>22425</v>
      </c>
      <c r="M133" s="10"/>
      <c r="N133" s="10"/>
      <c r="O133" s="10"/>
      <c r="P133" s="10"/>
      <c r="Q133" s="10"/>
      <c r="R133" s="10"/>
      <c r="S133" s="10"/>
      <c r="T133" s="10"/>
      <c r="U133" s="10">
        <v>22425</v>
      </c>
      <c r="V133" s="31"/>
      <c r="W133" s="10"/>
      <c r="X133" s="10"/>
      <c r="Y133" s="10"/>
      <c r="Z133" s="11">
        <f t="shared" si="19"/>
        <v>22425</v>
      </c>
      <c r="AA133" s="10">
        <f t="shared" si="20"/>
        <v>0</v>
      </c>
      <c r="AB133" s="3"/>
    </row>
    <row r="134" spans="1:28" ht="25.5" x14ac:dyDescent="0.25">
      <c r="A134" s="7">
        <v>130</v>
      </c>
      <c r="B134" s="12" t="s">
        <v>1032</v>
      </c>
      <c r="C134" s="25">
        <v>45449</v>
      </c>
      <c r="D134" s="13">
        <v>45657</v>
      </c>
      <c r="E134" s="6" t="s">
        <v>127</v>
      </c>
      <c r="F134" s="5" t="s">
        <v>1033</v>
      </c>
      <c r="G134" s="10">
        <v>50000</v>
      </c>
      <c r="H134" s="10"/>
      <c r="I134" s="10"/>
      <c r="J134" s="10"/>
      <c r="K134" s="10">
        <v>50000</v>
      </c>
      <c r="L134" s="10"/>
      <c r="M134" s="10"/>
      <c r="N134" s="10"/>
      <c r="O134" s="10"/>
      <c r="P134" s="10"/>
      <c r="Q134" s="10"/>
      <c r="R134" s="10"/>
      <c r="S134" s="10"/>
      <c r="T134" s="10">
        <v>50000</v>
      </c>
      <c r="U134" s="10"/>
      <c r="V134" s="31"/>
      <c r="W134" s="10"/>
      <c r="X134" s="10"/>
      <c r="Y134" s="10"/>
      <c r="Z134" s="11">
        <f t="shared" si="19"/>
        <v>50000</v>
      </c>
      <c r="AA134" s="10">
        <f t="shared" si="20"/>
        <v>0</v>
      </c>
      <c r="AB134" s="3"/>
    </row>
    <row r="135" spans="1:28" x14ac:dyDescent="0.25">
      <c r="A135" s="7">
        <v>131</v>
      </c>
      <c r="B135" s="12" t="s">
        <v>1039</v>
      </c>
      <c r="C135" s="25">
        <v>45483</v>
      </c>
      <c r="D135" s="13">
        <v>45657</v>
      </c>
      <c r="E135" s="6" t="s">
        <v>93</v>
      </c>
      <c r="F135" s="5" t="s">
        <v>1040</v>
      </c>
      <c r="G135" s="10">
        <v>4056</v>
      </c>
      <c r="H135" s="10"/>
      <c r="I135" s="10">
        <v>4056</v>
      </c>
      <c r="J135" s="10"/>
      <c r="K135" s="10"/>
      <c r="L135" s="10"/>
      <c r="M135" s="10"/>
      <c r="N135" s="10"/>
      <c r="O135" s="10"/>
      <c r="P135" s="10"/>
      <c r="Q135" s="10"/>
      <c r="R135" s="10">
        <v>4056</v>
      </c>
      <c r="S135" s="10"/>
      <c r="T135" s="10"/>
      <c r="U135" s="10"/>
      <c r="V135" s="31"/>
      <c r="W135" s="10"/>
      <c r="X135" s="10"/>
      <c r="Y135" s="10"/>
      <c r="Z135" s="11">
        <f t="shared" si="19"/>
        <v>4056</v>
      </c>
      <c r="AA135" s="10">
        <f t="shared" si="20"/>
        <v>0</v>
      </c>
      <c r="AB135" s="3"/>
    </row>
    <row r="136" spans="1:28" x14ac:dyDescent="0.25">
      <c r="A136" s="7">
        <v>132</v>
      </c>
      <c r="B136" s="12" t="s">
        <v>1041</v>
      </c>
      <c r="C136" s="25">
        <v>45483</v>
      </c>
      <c r="D136" s="13">
        <v>45657</v>
      </c>
      <c r="E136" s="6" t="s">
        <v>694</v>
      </c>
      <c r="F136" s="5" t="s">
        <v>1042</v>
      </c>
      <c r="G136" s="10">
        <v>870</v>
      </c>
      <c r="H136" s="10"/>
      <c r="I136" s="10">
        <v>870</v>
      </c>
      <c r="J136" s="10"/>
      <c r="K136" s="10"/>
      <c r="L136" s="10"/>
      <c r="M136" s="10"/>
      <c r="N136" s="10"/>
      <c r="O136" s="10"/>
      <c r="P136" s="10"/>
      <c r="Q136" s="10"/>
      <c r="R136" s="10">
        <v>870</v>
      </c>
      <c r="S136" s="10"/>
      <c r="T136" s="10"/>
      <c r="U136" s="10"/>
      <c r="V136" s="31"/>
      <c r="W136" s="10"/>
      <c r="X136" s="10"/>
      <c r="Y136" s="10"/>
      <c r="Z136" s="11">
        <f t="shared" si="19"/>
        <v>870</v>
      </c>
      <c r="AA136" s="10">
        <f t="shared" si="20"/>
        <v>0</v>
      </c>
      <c r="AB136" s="3"/>
    </row>
    <row r="137" spans="1:28" ht="42" customHeight="1" x14ac:dyDescent="0.25">
      <c r="A137" s="7">
        <v>133</v>
      </c>
      <c r="B137" s="12" t="s">
        <v>1043</v>
      </c>
      <c r="C137" s="25">
        <v>45483</v>
      </c>
      <c r="D137" s="13">
        <v>45657</v>
      </c>
      <c r="E137" s="6" t="s">
        <v>93</v>
      </c>
      <c r="F137" s="5" t="s">
        <v>1044</v>
      </c>
      <c r="G137" s="10">
        <v>2397</v>
      </c>
      <c r="H137" s="10"/>
      <c r="I137" s="10">
        <v>2397</v>
      </c>
      <c r="J137" s="10"/>
      <c r="K137" s="10"/>
      <c r="L137" s="10"/>
      <c r="M137" s="10"/>
      <c r="N137" s="10"/>
      <c r="O137" s="10"/>
      <c r="P137" s="10"/>
      <c r="Q137" s="10"/>
      <c r="R137" s="10">
        <v>2397</v>
      </c>
      <c r="S137" s="10"/>
      <c r="T137" s="10"/>
      <c r="U137" s="10"/>
      <c r="V137" s="31"/>
      <c r="W137" s="10"/>
      <c r="X137" s="10"/>
      <c r="Y137" s="10"/>
      <c r="Z137" s="11">
        <f t="shared" si="19"/>
        <v>2397</v>
      </c>
      <c r="AA137" s="10">
        <f t="shared" si="20"/>
        <v>0</v>
      </c>
      <c r="AB137" s="3"/>
    </row>
    <row r="138" spans="1:28" ht="27" customHeight="1" x14ac:dyDescent="0.25">
      <c r="A138" s="7">
        <v>134</v>
      </c>
      <c r="B138" s="12" t="s">
        <v>1045</v>
      </c>
      <c r="C138" s="25">
        <v>45483</v>
      </c>
      <c r="D138" s="13">
        <v>45657</v>
      </c>
      <c r="E138" s="6" t="s">
        <v>1046</v>
      </c>
      <c r="F138" s="5" t="s">
        <v>1047</v>
      </c>
      <c r="G138" s="10">
        <v>21486</v>
      </c>
      <c r="H138" s="10">
        <v>21486</v>
      </c>
      <c r="I138" s="10"/>
      <c r="J138" s="10"/>
      <c r="K138" s="10"/>
      <c r="L138" s="10"/>
      <c r="M138" s="10"/>
      <c r="N138" s="10"/>
      <c r="O138" s="10"/>
      <c r="P138" s="10"/>
      <c r="Q138" s="10">
        <v>21486</v>
      </c>
      <c r="R138" s="10"/>
      <c r="S138" s="10"/>
      <c r="T138" s="10"/>
      <c r="U138" s="10"/>
      <c r="V138" s="31"/>
      <c r="W138" s="10"/>
      <c r="X138" s="10"/>
      <c r="Y138" s="10"/>
      <c r="Z138" s="11">
        <f t="shared" ref="Z138" si="21">SUM(Q138:Y138)</f>
        <v>21486</v>
      </c>
      <c r="AA138" s="10">
        <f t="shared" ref="AA138" si="22">G138-Z138</f>
        <v>0</v>
      </c>
      <c r="AB138" s="3"/>
    </row>
    <row r="139" spans="1:28" ht="17.25" customHeight="1" x14ac:dyDescent="0.25">
      <c r="A139" s="7">
        <v>135</v>
      </c>
      <c r="B139" s="12" t="s">
        <v>1048</v>
      </c>
      <c r="C139" s="25">
        <v>45483</v>
      </c>
      <c r="D139" s="13">
        <v>45657</v>
      </c>
      <c r="E139" s="6" t="s">
        <v>93</v>
      </c>
      <c r="F139" s="5" t="s">
        <v>115</v>
      </c>
      <c r="G139" s="10">
        <v>1370</v>
      </c>
      <c r="H139" s="10"/>
      <c r="I139" s="10">
        <v>1370</v>
      </c>
      <c r="J139" s="10"/>
      <c r="K139" s="10"/>
      <c r="L139" s="10"/>
      <c r="M139" s="10"/>
      <c r="N139" s="10"/>
      <c r="O139" s="10"/>
      <c r="P139" s="10"/>
      <c r="Q139" s="10"/>
      <c r="R139" s="10">
        <v>1370</v>
      </c>
      <c r="S139" s="10"/>
      <c r="T139" s="10"/>
      <c r="U139" s="10"/>
      <c r="V139" s="31"/>
      <c r="W139" s="10"/>
      <c r="X139" s="10"/>
      <c r="Y139" s="10"/>
      <c r="Z139" s="11">
        <f t="shared" ref="Z139" si="23">SUM(Q139:Y139)</f>
        <v>1370</v>
      </c>
      <c r="AA139" s="10">
        <f t="shared" ref="AA139" si="24">G139-Z139</f>
        <v>0</v>
      </c>
      <c r="AB139" s="3"/>
    </row>
    <row r="140" spans="1:28" ht="17.25" customHeight="1" x14ac:dyDescent="0.25">
      <c r="A140" s="7">
        <v>136</v>
      </c>
      <c r="B140" s="12" t="s">
        <v>1049</v>
      </c>
      <c r="C140" s="25">
        <v>45483</v>
      </c>
      <c r="D140" s="13">
        <v>45657</v>
      </c>
      <c r="E140" s="6" t="s">
        <v>93</v>
      </c>
      <c r="F140" s="5" t="s">
        <v>115</v>
      </c>
      <c r="G140" s="10">
        <v>1651.85</v>
      </c>
      <c r="H140" s="10"/>
      <c r="I140" s="10">
        <v>1651.85</v>
      </c>
      <c r="J140" s="10"/>
      <c r="K140" s="10"/>
      <c r="L140" s="10"/>
      <c r="M140" s="10"/>
      <c r="N140" s="10"/>
      <c r="O140" s="10"/>
      <c r="P140" s="10"/>
      <c r="Q140" s="10"/>
      <c r="R140" s="10">
        <v>1651.85</v>
      </c>
      <c r="S140" s="10"/>
      <c r="T140" s="10"/>
      <c r="U140" s="10"/>
      <c r="V140" s="31"/>
      <c r="W140" s="10"/>
      <c r="X140" s="10"/>
      <c r="Y140" s="10"/>
      <c r="Z140" s="11">
        <f t="shared" ref="Z140" si="25">SUM(Q140:Y140)</f>
        <v>1651.85</v>
      </c>
      <c r="AA140" s="10">
        <f t="shared" ref="AA140" si="26">G140-Z140</f>
        <v>0</v>
      </c>
      <c r="AB140" s="3"/>
    </row>
    <row r="141" spans="1:28" ht="17.25" customHeight="1" x14ac:dyDescent="0.25">
      <c r="A141" s="7">
        <v>137</v>
      </c>
      <c r="B141" s="12" t="s">
        <v>1050</v>
      </c>
      <c r="C141" s="25">
        <v>45483</v>
      </c>
      <c r="D141" s="13">
        <v>45657</v>
      </c>
      <c r="E141" s="6" t="s">
        <v>93</v>
      </c>
      <c r="F141" s="5" t="s">
        <v>115</v>
      </c>
      <c r="G141" s="10">
        <v>1882</v>
      </c>
      <c r="H141" s="10"/>
      <c r="I141" s="10">
        <v>1882</v>
      </c>
      <c r="J141" s="10"/>
      <c r="K141" s="10"/>
      <c r="L141" s="10"/>
      <c r="M141" s="10"/>
      <c r="N141" s="10"/>
      <c r="O141" s="10"/>
      <c r="P141" s="10"/>
      <c r="Q141" s="10"/>
      <c r="R141" s="10">
        <v>1882</v>
      </c>
      <c r="S141" s="10"/>
      <c r="T141" s="10"/>
      <c r="U141" s="10"/>
      <c r="V141" s="31"/>
      <c r="W141" s="10"/>
      <c r="X141" s="10"/>
      <c r="Y141" s="10"/>
      <c r="Z141" s="11">
        <f t="shared" ref="Z141" si="27">SUM(Q141:Y141)</f>
        <v>1882</v>
      </c>
      <c r="AA141" s="10">
        <f t="shared" ref="AA141" si="28">G141-Z141</f>
        <v>0</v>
      </c>
      <c r="AB141" s="3"/>
    </row>
    <row r="142" spans="1:28" ht="17.25" customHeight="1" x14ac:dyDescent="0.25">
      <c r="A142" s="7">
        <v>138</v>
      </c>
      <c r="B142" s="12" t="s">
        <v>1060</v>
      </c>
      <c r="C142" s="25">
        <v>45485</v>
      </c>
      <c r="D142" s="13">
        <v>45657</v>
      </c>
      <c r="E142" s="6" t="s">
        <v>1061</v>
      </c>
      <c r="F142" s="5" t="s">
        <v>1062</v>
      </c>
      <c r="G142" s="10">
        <v>11999</v>
      </c>
      <c r="H142" s="10"/>
      <c r="I142" s="10"/>
      <c r="J142" s="10"/>
      <c r="K142" s="10"/>
      <c r="L142" s="10">
        <v>11999</v>
      </c>
      <c r="M142" s="10"/>
      <c r="N142" s="10"/>
      <c r="O142" s="10"/>
      <c r="P142" s="10"/>
      <c r="Q142" s="10"/>
      <c r="R142" s="10"/>
      <c r="S142" s="10"/>
      <c r="T142" s="10"/>
      <c r="U142" s="10">
        <v>11999</v>
      </c>
      <c r="V142" s="31"/>
      <c r="W142" s="10"/>
      <c r="X142" s="10"/>
      <c r="Y142" s="10"/>
      <c r="Z142" s="11">
        <f t="shared" ref="Z142" si="29">SUM(Q142:Y142)</f>
        <v>11999</v>
      </c>
      <c r="AA142" s="10">
        <f t="shared" ref="AA142" si="30">G142-Z142</f>
        <v>0</v>
      </c>
      <c r="AB142" s="3"/>
    </row>
    <row r="143" spans="1:28" ht="17.25" customHeight="1" x14ac:dyDescent="0.25">
      <c r="A143" s="7">
        <v>139</v>
      </c>
      <c r="B143" s="12" t="s">
        <v>1079</v>
      </c>
      <c r="C143" s="25">
        <v>45491</v>
      </c>
      <c r="D143" s="13">
        <v>45657</v>
      </c>
      <c r="E143" s="6" t="s">
        <v>93</v>
      </c>
      <c r="F143" s="5" t="s">
        <v>115</v>
      </c>
      <c r="G143" s="10">
        <v>7520</v>
      </c>
      <c r="H143" s="10">
        <v>7520</v>
      </c>
      <c r="I143" s="10"/>
      <c r="J143" s="10"/>
      <c r="K143" s="10"/>
      <c r="L143" s="10"/>
      <c r="M143" s="10"/>
      <c r="N143" s="10"/>
      <c r="O143" s="10"/>
      <c r="P143" s="10"/>
      <c r="Q143" s="10">
        <v>7520</v>
      </c>
      <c r="R143" s="10"/>
      <c r="S143" s="10"/>
      <c r="T143" s="10"/>
      <c r="U143" s="10"/>
      <c r="V143" s="31"/>
      <c r="W143" s="10"/>
      <c r="X143" s="10"/>
      <c r="Y143" s="10"/>
      <c r="Z143" s="11">
        <f t="shared" ref="Z143" si="31">SUM(Q143:Y143)</f>
        <v>7520</v>
      </c>
      <c r="AA143" s="10">
        <f t="shared" ref="AA143" si="32">G143-Z143</f>
        <v>0</v>
      </c>
      <c r="AB143" s="3"/>
    </row>
    <row r="144" spans="1:28" ht="17.25" customHeight="1" x14ac:dyDescent="0.25">
      <c r="A144" s="7">
        <v>140</v>
      </c>
      <c r="B144" s="12" t="s">
        <v>1082</v>
      </c>
      <c r="C144" s="25">
        <v>45491</v>
      </c>
      <c r="D144" s="13">
        <v>45657</v>
      </c>
      <c r="E144" s="6" t="s">
        <v>711</v>
      </c>
      <c r="F144" s="5" t="s">
        <v>1083</v>
      </c>
      <c r="G144" s="10">
        <v>22000</v>
      </c>
      <c r="H144" s="10"/>
      <c r="I144" s="10"/>
      <c r="J144" s="10"/>
      <c r="K144" s="10">
        <f>11500+10500</f>
        <v>22000</v>
      </c>
      <c r="L144" s="10"/>
      <c r="M144" s="10"/>
      <c r="N144" s="10"/>
      <c r="O144" s="10"/>
      <c r="P144" s="10"/>
      <c r="Q144" s="10"/>
      <c r="R144" s="10"/>
      <c r="S144" s="10"/>
      <c r="T144" s="10">
        <f>11500+10500</f>
        <v>22000</v>
      </c>
      <c r="U144" s="10"/>
      <c r="V144" s="31"/>
      <c r="W144" s="10"/>
      <c r="X144" s="10"/>
      <c r="Y144" s="10"/>
      <c r="Z144" s="11">
        <f t="shared" ref="Z144" si="33">SUM(Q144:Y144)</f>
        <v>22000</v>
      </c>
      <c r="AA144" s="10">
        <f t="shared" ref="AA144" si="34">G144-Z144</f>
        <v>0</v>
      </c>
      <c r="AB144" s="3"/>
    </row>
    <row r="145" spans="1:28" ht="17.25" customHeight="1" x14ac:dyDescent="0.25">
      <c r="A145" s="7">
        <v>141</v>
      </c>
      <c r="B145" s="12" t="s">
        <v>1084</v>
      </c>
      <c r="C145" s="25">
        <v>45490</v>
      </c>
      <c r="D145" s="13">
        <v>45657</v>
      </c>
      <c r="E145" s="6" t="s">
        <v>214</v>
      </c>
      <c r="F145" s="17" t="s">
        <v>115</v>
      </c>
      <c r="G145" s="10">
        <v>8325</v>
      </c>
      <c r="H145" s="10"/>
      <c r="I145" s="10">
        <f>4799+3526</f>
        <v>8325</v>
      </c>
      <c r="J145" s="10"/>
      <c r="K145" s="10"/>
      <c r="L145" s="10"/>
      <c r="M145" s="10"/>
      <c r="N145" s="10"/>
      <c r="O145" s="10"/>
      <c r="P145" s="10"/>
      <c r="Q145" s="10"/>
      <c r="R145" s="10">
        <f>4799+3526</f>
        <v>8325</v>
      </c>
      <c r="S145" s="10"/>
      <c r="T145" s="10"/>
      <c r="U145" s="10"/>
      <c r="V145" s="31"/>
      <c r="W145" s="10"/>
      <c r="X145" s="10"/>
      <c r="Y145" s="10"/>
      <c r="Z145" s="11">
        <f t="shared" ref="Z145" si="35">SUM(Q145:Y145)</f>
        <v>8325</v>
      </c>
      <c r="AA145" s="10">
        <f t="shared" ref="AA145" si="36">G145-Z145</f>
        <v>0</v>
      </c>
      <c r="AB145" s="3"/>
    </row>
    <row r="146" spans="1:28" ht="17.25" customHeight="1" x14ac:dyDescent="0.25">
      <c r="A146" s="7">
        <v>142</v>
      </c>
      <c r="B146" s="12" t="s">
        <v>889</v>
      </c>
      <c r="C146" s="25">
        <v>45490</v>
      </c>
      <c r="D146" s="13">
        <v>45657</v>
      </c>
      <c r="E146" s="6" t="s">
        <v>517</v>
      </c>
      <c r="F146" s="17" t="s">
        <v>1171</v>
      </c>
      <c r="G146" s="10">
        <v>2400</v>
      </c>
      <c r="H146" s="10">
        <v>2400</v>
      </c>
      <c r="I146" s="10"/>
      <c r="J146" s="10"/>
      <c r="K146" s="10"/>
      <c r="L146" s="10"/>
      <c r="M146" s="10"/>
      <c r="N146" s="10"/>
      <c r="O146" s="10"/>
      <c r="P146" s="10"/>
      <c r="Q146" s="10">
        <v>2400</v>
      </c>
      <c r="R146" s="10"/>
      <c r="S146" s="10"/>
      <c r="T146" s="10"/>
      <c r="U146" s="10"/>
      <c r="V146" s="31"/>
      <c r="W146" s="10"/>
      <c r="X146" s="10"/>
      <c r="Y146" s="10"/>
      <c r="Z146" s="11">
        <f t="shared" ref="Z146" si="37">SUM(Q146:Y146)</f>
        <v>2400</v>
      </c>
      <c r="AA146" s="10">
        <f t="shared" ref="AA146" si="38">G146-Z146</f>
        <v>0</v>
      </c>
      <c r="AB146" s="3"/>
    </row>
    <row r="147" spans="1:28" ht="17.25" customHeight="1" x14ac:dyDescent="0.25">
      <c r="A147" s="7">
        <v>143</v>
      </c>
      <c r="B147" s="12" t="s">
        <v>1182</v>
      </c>
      <c r="C147" s="25">
        <v>45506</v>
      </c>
      <c r="D147" s="13">
        <v>45657</v>
      </c>
      <c r="E147" s="6" t="s">
        <v>872</v>
      </c>
      <c r="F147" s="17" t="s">
        <v>153</v>
      </c>
      <c r="G147" s="10">
        <v>1200</v>
      </c>
      <c r="H147" s="10"/>
      <c r="I147" s="10"/>
      <c r="J147" s="10"/>
      <c r="K147" s="10"/>
      <c r="L147" s="10">
        <v>1200</v>
      </c>
      <c r="M147" s="10"/>
      <c r="N147" s="10"/>
      <c r="O147" s="10"/>
      <c r="P147" s="10"/>
      <c r="Q147" s="10"/>
      <c r="R147" s="10"/>
      <c r="S147" s="10"/>
      <c r="T147" s="10"/>
      <c r="U147" s="10">
        <v>1200</v>
      </c>
      <c r="V147" s="31"/>
      <c r="W147" s="10"/>
      <c r="X147" s="10"/>
      <c r="Y147" s="10"/>
      <c r="Z147" s="11">
        <f t="shared" ref="Z147" si="39">SUM(Q147:Y147)</f>
        <v>1200</v>
      </c>
      <c r="AA147" s="10">
        <f t="shared" ref="AA147" si="40">G147-Z147</f>
        <v>0</v>
      </c>
      <c r="AB147" s="3"/>
    </row>
    <row r="148" spans="1:28" ht="17.25" customHeight="1" x14ac:dyDescent="0.25">
      <c r="A148" s="7">
        <v>144</v>
      </c>
      <c r="B148" s="12" t="s">
        <v>1190</v>
      </c>
      <c r="C148" s="25">
        <v>45509</v>
      </c>
      <c r="D148" s="13">
        <v>45657</v>
      </c>
      <c r="E148" s="6" t="s">
        <v>872</v>
      </c>
      <c r="F148" s="17" t="s">
        <v>153</v>
      </c>
      <c r="G148" s="10">
        <v>2700</v>
      </c>
      <c r="H148" s="10"/>
      <c r="I148" s="10"/>
      <c r="J148" s="10"/>
      <c r="K148" s="10">
        <v>2700</v>
      </c>
      <c r="L148" s="10"/>
      <c r="M148" s="10"/>
      <c r="N148" s="10"/>
      <c r="O148" s="10"/>
      <c r="P148" s="10"/>
      <c r="Q148" s="10"/>
      <c r="R148" s="10"/>
      <c r="S148" s="10"/>
      <c r="T148" s="10">
        <v>2700</v>
      </c>
      <c r="U148" s="10"/>
      <c r="V148" s="31"/>
      <c r="W148" s="10"/>
      <c r="X148" s="10"/>
      <c r="Y148" s="10"/>
      <c r="Z148" s="11">
        <f t="shared" ref="Z148" si="41">SUM(Q148:Y148)</f>
        <v>2700</v>
      </c>
      <c r="AA148" s="10">
        <f t="shared" ref="AA148" si="42">G148-Z148</f>
        <v>0</v>
      </c>
      <c r="AB148" s="3"/>
    </row>
    <row r="149" spans="1:28" ht="17.25" customHeight="1" x14ac:dyDescent="0.25">
      <c r="A149" s="7">
        <v>145</v>
      </c>
      <c r="B149" s="12" t="s">
        <v>1191</v>
      </c>
      <c r="C149" s="25">
        <v>45510</v>
      </c>
      <c r="D149" s="13">
        <v>45657</v>
      </c>
      <c r="E149" s="6" t="s">
        <v>93</v>
      </c>
      <c r="F149" s="17" t="s">
        <v>115</v>
      </c>
      <c r="G149" s="10">
        <v>1943.8</v>
      </c>
      <c r="H149" s="10">
        <v>1943.8</v>
      </c>
      <c r="I149" s="10"/>
      <c r="J149" s="10"/>
      <c r="K149" s="10"/>
      <c r="L149" s="10"/>
      <c r="M149" s="10"/>
      <c r="N149" s="10"/>
      <c r="O149" s="10"/>
      <c r="P149" s="10"/>
      <c r="Q149" s="10">
        <v>1943.8</v>
      </c>
      <c r="R149" s="10"/>
      <c r="S149" s="10"/>
      <c r="T149" s="10"/>
      <c r="U149" s="10"/>
      <c r="V149" s="31"/>
      <c r="W149" s="10"/>
      <c r="X149" s="10"/>
      <c r="Y149" s="10"/>
      <c r="Z149" s="11">
        <f t="shared" ref="Z149" si="43">SUM(Q149:Y149)</f>
        <v>1943.8</v>
      </c>
      <c r="AA149" s="10">
        <f t="shared" ref="AA149" si="44">G149-Z149</f>
        <v>0</v>
      </c>
      <c r="AB149" s="3"/>
    </row>
    <row r="150" spans="1:28" ht="17.25" customHeight="1" x14ac:dyDescent="0.25">
      <c r="A150" s="7">
        <v>146</v>
      </c>
      <c r="B150" s="12" t="s">
        <v>1192</v>
      </c>
      <c r="C150" s="25">
        <v>45510</v>
      </c>
      <c r="D150" s="13">
        <v>45657</v>
      </c>
      <c r="E150" s="6" t="s">
        <v>93</v>
      </c>
      <c r="F150" s="17" t="s">
        <v>115</v>
      </c>
      <c r="G150" s="10">
        <v>1680</v>
      </c>
      <c r="H150" s="10">
        <v>1680</v>
      </c>
      <c r="I150" s="10"/>
      <c r="J150" s="10"/>
      <c r="K150" s="10"/>
      <c r="L150" s="10"/>
      <c r="M150" s="10"/>
      <c r="N150" s="10"/>
      <c r="O150" s="10"/>
      <c r="P150" s="10"/>
      <c r="Q150" s="10">
        <v>1680</v>
      </c>
      <c r="R150" s="10"/>
      <c r="S150" s="10"/>
      <c r="T150" s="10"/>
      <c r="U150" s="10"/>
      <c r="V150" s="31"/>
      <c r="W150" s="10"/>
      <c r="X150" s="10"/>
      <c r="Y150" s="10"/>
      <c r="Z150" s="11">
        <f t="shared" ref="Z150" si="45">SUM(Q150:Y150)</f>
        <v>1680</v>
      </c>
      <c r="AA150" s="10">
        <f t="shared" ref="AA150" si="46">G150-Z150</f>
        <v>0</v>
      </c>
      <c r="AB150" s="3"/>
    </row>
    <row r="151" spans="1:28" ht="17.25" customHeight="1" x14ac:dyDescent="0.25">
      <c r="A151" s="7">
        <v>147</v>
      </c>
      <c r="B151" s="12" t="s">
        <v>1199</v>
      </c>
      <c r="C151" s="25">
        <v>45517</v>
      </c>
      <c r="D151" s="13">
        <v>45657</v>
      </c>
      <c r="E151" s="6" t="s">
        <v>214</v>
      </c>
      <c r="F151" s="17" t="s">
        <v>115</v>
      </c>
      <c r="G151" s="10">
        <v>6114</v>
      </c>
      <c r="H151" s="10"/>
      <c r="I151" s="10">
        <v>6114</v>
      </c>
      <c r="J151" s="10"/>
      <c r="K151" s="10"/>
      <c r="L151" s="10"/>
      <c r="M151" s="10"/>
      <c r="N151" s="10"/>
      <c r="O151" s="10"/>
      <c r="P151" s="10"/>
      <c r="Q151" s="10"/>
      <c r="R151" s="10">
        <v>6114</v>
      </c>
      <c r="S151" s="10"/>
      <c r="T151" s="10"/>
      <c r="U151" s="10"/>
      <c r="V151" s="31"/>
      <c r="W151" s="10"/>
      <c r="X151" s="10"/>
      <c r="Y151" s="10"/>
      <c r="Z151" s="11">
        <f t="shared" ref="Z151" si="47">SUM(Q151:Y151)</f>
        <v>6114</v>
      </c>
      <c r="AA151" s="10">
        <f t="shared" ref="AA151" si="48">G151-Z151</f>
        <v>0</v>
      </c>
      <c r="AB151" s="3"/>
    </row>
    <row r="152" spans="1:28" ht="17.25" customHeight="1" x14ac:dyDescent="0.25">
      <c r="A152" s="7">
        <v>148</v>
      </c>
      <c r="B152" s="12" t="s">
        <v>1215</v>
      </c>
      <c r="C152" s="25">
        <v>45524</v>
      </c>
      <c r="D152" s="13">
        <v>45657</v>
      </c>
      <c r="E152" s="6" t="s">
        <v>93</v>
      </c>
      <c r="F152" s="17" t="s">
        <v>115</v>
      </c>
      <c r="G152" s="10">
        <v>6322.9</v>
      </c>
      <c r="H152" s="10"/>
      <c r="I152" s="10"/>
      <c r="J152" s="10"/>
      <c r="K152" s="10"/>
      <c r="L152" s="10">
        <v>6322.9</v>
      </c>
      <c r="M152" s="10"/>
      <c r="N152" s="10"/>
      <c r="O152" s="10"/>
      <c r="P152" s="10"/>
      <c r="Q152" s="10"/>
      <c r="R152" s="10"/>
      <c r="S152" s="10"/>
      <c r="T152" s="10"/>
      <c r="U152" s="10">
        <v>6322.9</v>
      </c>
      <c r="V152" s="31"/>
      <c r="W152" s="10"/>
      <c r="X152" s="10"/>
      <c r="Y152" s="10"/>
      <c r="Z152" s="11">
        <f t="shared" ref="Z152" si="49">SUM(Q152:Y152)</f>
        <v>6322.9</v>
      </c>
      <c r="AA152" s="10">
        <f t="shared" ref="AA152" si="50">G152-Z152</f>
        <v>0</v>
      </c>
      <c r="AB152" s="3"/>
    </row>
    <row r="153" spans="1:28" ht="17.25" customHeight="1" x14ac:dyDescent="0.25">
      <c r="A153" s="7">
        <v>149</v>
      </c>
      <c r="B153" s="12" t="s">
        <v>1221</v>
      </c>
      <c r="C153" s="25">
        <v>45524</v>
      </c>
      <c r="D153" s="13">
        <v>45657</v>
      </c>
      <c r="E153" s="6" t="s">
        <v>848</v>
      </c>
      <c r="F153" s="17" t="s">
        <v>115</v>
      </c>
      <c r="G153" s="10">
        <v>10376</v>
      </c>
      <c r="H153" s="10">
        <v>10376</v>
      </c>
      <c r="I153" s="10"/>
      <c r="J153" s="10"/>
      <c r="K153" s="10"/>
      <c r="L153" s="10"/>
      <c r="M153" s="10"/>
      <c r="N153" s="10"/>
      <c r="O153" s="10"/>
      <c r="P153" s="10"/>
      <c r="Q153" s="10">
        <v>10376</v>
      </c>
      <c r="R153" s="10"/>
      <c r="S153" s="10"/>
      <c r="T153" s="10"/>
      <c r="U153" s="10"/>
      <c r="V153" s="31"/>
      <c r="W153" s="10"/>
      <c r="X153" s="10"/>
      <c r="Y153" s="10"/>
      <c r="Z153" s="11">
        <f t="shared" ref="Z153" si="51">SUM(Q153:Y153)</f>
        <v>10376</v>
      </c>
      <c r="AA153" s="10">
        <f t="shared" ref="AA153" si="52">G153-Z153</f>
        <v>0</v>
      </c>
      <c r="AB153" s="3"/>
    </row>
    <row r="154" spans="1:28" ht="28.5" customHeight="1" x14ac:dyDescent="0.25">
      <c r="A154" s="7">
        <v>150</v>
      </c>
      <c r="B154" s="12" t="s">
        <v>1226</v>
      </c>
      <c r="C154" s="25">
        <v>45450</v>
      </c>
      <c r="D154" s="13">
        <v>45657</v>
      </c>
      <c r="E154" s="6" t="s">
        <v>687</v>
      </c>
      <c r="F154" s="17" t="s">
        <v>1227</v>
      </c>
      <c r="G154" s="10">
        <v>21923.040000000001</v>
      </c>
      <c r="H154" s="10"/>
      <c r="I154" s="10"/>
      <c r="J154" s="10"/>
      <c r="K154" s="10"/>
      <c r="L154" s="10"/>
      <c r="M154" s="10"/>
      <c r="N154" s="10"/>
      <c r="O154" s="10"/>
      <c r="P154" s="10">
        <v>21923.040000000001</v>
      </c>
      <c r="Q154" s="10"/>
      <c r="R154" s="10"/>
      <c r="S154" s="10"/>
      <c r="T154" s="10"/>
      <c r="U154" s="10"/>
      <c r="V154" s="31"/>
      <c r="W154" s="10"/>
      <c r="X154" s="10"/>
      <c r="Y154" s="10">
        <v>21923.040000000001</v>
      </c>
      <c r="Z154" s="11">
        <f t="shared" ref="Z154" si="53">SUM(Q154:Y154)</f>
        <v>21923.040000000001</v>
      </c>
      <c r="AA154" s="10">
        <f t="shared" ref="AA154" si="54">G154-Z154</f>
        <v>0</v>
      </c>
      <c r="AB154" s="3"/>
    </row>
    <row r="155" spans="1:28" ht="18.75" customHeight="1" x14ac:dyDescent="0.25">
      <c r="A155" s="7">
        <v>151</v>
      </c>
      <c r="B155" s="12" t="s">
        <v>1239</v>
      </c>
      <c r="C155" s="25">
        <v>45531</v>
      </c>
      <c r="D155" s="13">
        <v>45657</v>
      </c>
      <c r="E155" s="6" t="s">
        <v>93</v>
      </c>
      <c r="F155" s="17" t="s">
        <v>115</v>
      </c>
      <c r="G155" s="10">
        <v>5633</v>
      </c>
      <c r="H155" s="10"/>
      <c r="I155" s="10">
        <v>5633</v>
      </c>
      <c r="J155" s="10"/>
      <c r="K155" s="10"/>
      <c r="L155" s="10"/>
      <c r="M155" s="10"/>
      <c r="N155" s="10"/>
      <c r="O155" s="10"/>
      <c r="P155" s="10"/>
      <c r="Q155" s="10"/>
      <c r="R155" s="10">
        <v>5633</v>
      </c>
      <c r="S155" s="10"/>
      <c r="T155" s="10"/>
      <c r="U155" s="10"/>
      <c r="V155" s="31"/>
      <c r="W155" s="10"/>
      <c r="X155" s="10"/>
      <c r="Y155" s="10"/>
      <c r="Z155" s="11">
        <f t="shared" ref="Z155" si="55">SUM(Q155:Y155)</f>
        <v>5633</v>
      </c>
      <c r="AA155" s="10">
        <f t="shared" ref="AA155" si="56">G155-Z155</f>
        <v>0</v>
      </c>
      <c r="AB155" s="3"/>
    </row>
    <row r="156" spans="1:28" ht="37.5" customHeight="1" x14ac:dyDescent="0.25">
      <c r="A156" s="7">
        <v>152</v>
      </c>
      <c r="B156" s="12" t="s">
        <v>1243</v>
      </c>
      <c r="C156" s="25">
        <v>45488</v>
      </c>
      <c r="D156" s="13">
        <v>45657</v>
      </c>
      <c r="E156" s="6" t="s">
        <v>1244</v>
      </c>
      <c r="F156" s="17" t="s">
        <v>486</v>
      </c>
      <c r="G156" s="10">
        <v>106335</v>
      </c>
      <c r="H156" s="10"/>
      <c r="I156" s="10"/>
      <c r="J156" s="10"/>
      <c r="K156" s="10"/>
      <c r="L156" s="10"/>
      <c r="M156" s="10"/>
      <c r="N156" s="10"/>
      <c r="O156" s="10"/>
      <c r="P156" s="10">
        <f>10633.5+28356</f>
        <v>38989.5</v>
      </c>
      <c r="Q156" s="10"/>
      <c r="R156" s="10"/>
      <c r="S156" s="10"/>
      <c r="T156" s="10"/>
      <c r="U156" s="10"/>
      <c r="V156" s="31"/>
      <c r="W156" s="10"/>
      <c r="X156" s="10"/>
      <c r="Y156" s="10">
        <f>10633.5+28356</f>
        <v>38989.5</v>
      </c>
      <c r="Z156" s="11">
        <f t="shared" ref="Z156" si="57">SUM(Q156:Y156)</f>
        <v>38989.5</v>
      </c>
      <c r="AA156" s="10">
        <f t="shared" ref="AA156" si="58">G156-Z156</f>
        <v>67345.5</v>
      </c>
      <c r="AB156" s="3"/>
    </row>
    <row r="157" spans="1:28" ht="17.25" customHeight="1" x14ac:dyDescent="0.25">
      <c r="A157" s="7">
        <v>153</v>
      </c>
      <c r="B157" s="12" t="s">
        <v>1251</v>
      </c>
      <c r="C157" s="25">
        <v>45534</v>
      </c>
      <c r="D157" s="13">
        <v>45565</v>
      </c>
      <c r="E157" s="6" t="s">
        <v>95</v>
      </c>
      <c r="F157" s="17" t="s">
        <v>1252</v>
      </c>
      <c r="G157" s="10">
        <v>8400</v>
      </c>
      <c r="H157" s="10">
        <v>8400</v>
      </c>
      <c r="I157" s="10"/>
      <c r="J157" s="10"/>
      <c r="K157" s="10"/>
      <c r="L157" s="10"/>
      <c r="M157" s="10"/>
      <c r="N157" s="10"/>
      <c r="O157" s="10"/>
      <c r="P157" s="10"/>
      <c r="Q157" s="10">
        <v>8400</v>
      </c>
      <c r="R157" s="10"/>
      <c r="S157" s="10"/>
      <c r="T157" s="10"/>
      <c r="U157" s="10"/>
      <c r="V157" s="31"/>
      <c r="W157" s="10"/>
      <c r="X157" s="10"/>
      <c r="Y157" s="10"/>
      <c r="Z157" s="11">
        <f t="shared" ref="Z157" si="59">SUM(Q157:Y157)</f>
        <v>8400</v>
      </c>
      <c r="AA157" s="10">
        <f t="shared" ref="AA157" si="60">G157-Z157</f>
        <v>0</v>
      </c>
      <c r="AB157" s="3"/>
    </row>
    <row r="158" spans="1:28" ht="17.25" customHeight="1" x14ac:dyDescent="0.25">
      <c r="A158" s="7">
        <v>154</v>
      </c>
      <c r="B158" s="7">
        <v>548</v>
      </c>
      <c r="C158" s="12" t="s">
        <v>1266</v>
      </c>
      <c r="D158" s="13">
        <v>45535</v>
      </c>
      <c r="E158" s="6" t="s">
        <v>93</v>
      </c>
      <c r="F158" s="17" t="s">
        <v>115</v>
      </c>
      <c r="G158" s="10">
        <v>425</v>
      </c>
      <c r="H158" s="10">
        <v>425</v>
      </c>
      <c r="I158" s="10"/>
      <c r="J158" s="10"/>
      <c r="K158" s="10"/>
      <c r="L158" s="10"/>
      <c r="M158" s="10"/>
      <c r="N158" s="10"/>
      <c r="O158" s="10"/>
      <c r="P158" s="10"/>
      <c r="Q158" s="10">
        <v>425</v>
      </c>
      <c r="R158" s="10"/>
      <c r="S158" s="10"/>
      <c r="T158" s="10"/>
      <c r="U158" s="10"/>
      <c r="V158" s="31"/>
      <c r="W158" s="10"/>
      <c r="X158" s="10"/>
      <c r="Y158" s="10"/>
      <c r="Z158" s="11">
        <f t="shared" ref="Z158" si="61">SUM(Q158:Y158)</f>
        <v>425</v>
      </c>
      <c r="AA158" s="10">
        <f t="shared" ref="AA158" si="62">G158-Z158</f>
        <v>0</v>
      </c>
      <c r="AB158" s="3"/>
    </row>
    <row r="159" spans="1:28" ht="17.25" customHeight="1" x14ac:dyDescent="0.25">
      <c r="A159" s="7">
        <v>155</v>
      </c>
      <c r="B159" s="7">
        <v>547</v>
      </c>
      <c r="C159" s="12" t="s">
        <v>1266</v>
      </c>
      <c r="D159" s="13">
        <v>45535</v>
      </c>
      <c r="E159" s="6" t="s">
        <v>93</v>
      </c>
      <c r="F159" s="17" t="s">
        <v>115</v>
      </c>
      <c r="G159" s="10">
        <v>1348</v>
      </c>
      <c r="H159" s="10">
        <v>1348</v>
      </c>
      <c r="I159" s="10"/>
      <c r="J159" s="10"/>
      <c r="K159" s="10"/>
      <c r="L159" s="10"/>
      <c r="M159" s="10"/>
      <c r="N159" s="10"/>
      <c r="O159" s="10"/>
      <c r="P159" s="10"/>
      <c r="Q159" s="10">
        <v>1348</v>
      </c>
      <c r="R159" s="10"/>
      <c r="S159" s="10"/>
      <c r="T159" s="10"/>
      <c r="U159" s="10"/>
      <c r="V159" s="31"/>
      <c r="W159" s="10"/>
      <c r="X159" s="10"/>
      <c r="Y159" s="10"/>
      <c r="Z159" s="11">
        <f t="shared" ref="Z159" si="63">SUM(Q159:Y159)</f>
        <v>1348</v>
      </c>
      <c r="AA159" s="10">
        <f t="shared" ref="AA159" si="64">G159-Z159</f>
        <v>0</v>
      </c>
      <c r="AB159" s="3"/>
    </row>
    <row r="160" spans="1:28" ht="17.25" customHeight="1" x14ac:dyDescent="0.25">
      <c r="A160" s="7">
        <v>156</v>
      </c>
      <c r="B160" s="7">
        <v>560</v>
      </c>
      <c r="C160" s="12" t="s">
        <v>1270</v>
      </c>
      <c r="D160" s="13">
        <v>45657</v>
      </c>
      <c r="E160" s="6" t="s">
        <v>155</v>
      </c>
      <c r="F160" s="17" t="s">
        <v>1275</v>
      </c>
      <c r="G160" s="10">
        <v>350</v>
      </c>
      <c r="H160" s="10">
        <v>350</v>
      </c>
      <c r="I160" s="10"/>
      <c r="J160" s="10"/>
      <c r="K160" s="10"/>
      <c r="L160" s="10"/>
      <c r="M160" s="10"/>
      <c r="N160" s="10"/>
      <c r="O160" s="10"/>
      <c r="P160" s="10"/>
      <c r="Q160" s="10">
        <v>350</v>
      </c>
      <c r="R160" s="10"/>
      <c r="S160" s="10"/>
      <c r="T160" s="10"/>
      <c r="U160" s="10"/>
      <c r="V160" s="31"/>
      <c r="W160" s="10"/>
      <c r="X160" s="10"/>
      <c r="Y160" s="10"/>
      <c r="Z160" s="11">
        <f t="shared" ref="Z160" si="65">SUM(Q160:Y160)</f>
        <v>350</v>
      </c>
      <c r="AA160" s="10">
        <f t="shared" ref="AA160" si="66">G160-Z160</f>
        <v>0</v>
      </c>
      <c r="AB160" s="3"/>
    </row>
    <row r="161" spans="1:28" ht="17.25" customHeight="1" x14ac:dyDescent="0.25">
      <c r="A161" s="7">
        <v>157</v>
      </c>
      <c r="B161" s="7">
        <v>563</v>
      </c>
      <c r="C161" s="12" t="s">
        <v>1290</v>
      </c>
      <c r="D161" s="13">
        <v>45657</v>
      </c>
      <c r="E161" s="6" t="s">
        <v>93</v>
      </c>
      <c r="F161" s="17" t="s">
        <v>1291</v>
      </c>
      <c r="G161" s="10">
        <v>10100</v>
      </c>
      <c r="H161" s="10">
        <v>10100</v>
      </c>
      <c r="I161" s="10"/>
      <c r="J161" s="10"/>
      <c r="K161" s="10"/>
      <c r="L161" s="10"/>
      <c r="M161" s="10"/>
      <c r="N161" s="10"/>
      <c r="O161" s="10"/>
      <c r="P161" s="10"/>
      <c r="Q161" s="10">
        <v>10100</v>
      </c>
      <c r="R161" s="10"/>
      <c r="S161" s="10"/>
      <c r="T161" s="10"/>
      <c r="U161" s="10"/>
      <c r="V161" s="31"/>
      <c r="W161" s="10"/>
      <c r="X161" s="10"/>
      <c r="Y161" s="10"/>
      <c r="Z161" s="11">
        <f t="shared" ref="Z161" si="67">SUM(Q161:Y161)</f>
        <v>10100</v>
      </c>
      <c r="AA161" s="10">
        <f t="shared" ref="AA161" si="68">G161-Z161</f>
        <v>0</v>
      </c>
      <c r="AB161" s="3"/>
    </row>
    <row r="162" spans="1:28" ht="17.25" customHeight="1" x14ac:dyDescent="0.25">
      <c r="A162" s="7">
        <v>158</v>
      </c>
      <c r="B162" s="7">
        <v>565</v>
      </c>
      <c r="C162" s="12" t="s">
        <v>1290</v>
      </c>
      <c r="D162" s="13">
        <v>45657</v>
      </c>
      <c r="E162" s="6" t="s">
        <v>93</v>
      </c>
      <c r="F162" s="17" t="s">
        <v>115</v>
      </c>
      <c r="G162" s="10">
        <v>3915</v>
      </c>
      <c r="H162" s="10">
        <v>3915</v>
      </c>
      <c r="I162" s="10"/>
      <c r="J162" s="10"/>
      <c r="K162" s="10"/>
      <c r="L162" s="10"/>
      <c r="M162" s="10"/>
      <c r="N162" s="10"/>
      <c r="O162" s="10"/>
      <c r="P162" s="10"/>
      <c r="Q162" s="10">
        <v>3915</v>
      </c>
      <c r="R162" s="10"/>
      <c r="S162" s="10"/>
      <c r="T162" s="10"/>
      <c r="U162" s="10"/>
      <c r="V162" s="31"/>
      <c r="W162" s="10"/>
      <c r="X162" s="10"/>
      <c r="Y162" s="10"/>
      <c r="Z162" s="11">
        <f t="shared" ref="Z162" si="69">SUM(Q162:Y162)</f>
        <v>3915</v>
      </c>
      <c r="AA162" s="10">
        <f t="shared" ref="AA162" si="70">G162-Z162</f>
        <v>0</v>
      </c>
      <c r="AB162" s="3"/>
    </row>
    <row r="163" spans="1:28" ht="17.25" customHeight="1" x14ac:dyDescent="0.25">
      <c r="A163" s="7">
        <v>159</v>
      </c>
      <c r="B163" s="7">
        <v>566</v>
      </c>
      <c r="C163" s="12" t="s">
        <v>1290</v>
      </c>
      <c r="D163" s="13">
        <v>45657</v>
      </c>
      <c r="E163" s="6" t="s">
        <v>93</v>
      </c>
      <c r="F163" s="17" t="s">
        <v>115</v>
      </c>
      <c r="G163" s="10">
        <v>4998</v>
      </c>
      <c r="H163" s="10">
        <v>4998</v>
      </c>
      <c r="I163" s="10"/>
      <c r="J163" s="10"/>
      <c r="K163" s="10"/>
      <c r="L163" s="10"/>
      <c r="M163" s="10"/>
      <c r="N163" s="10"/>
      <c r="O163" s="10"/>
      <c r="P163" s="10"/>
      <c r="Q163" s="10">
        <v>4998</v>
      </c>
      <c r="R163" s="10"/>
      <c r="S163" s="10"/>
      <c r="T163" s="10"/>
      <c r="U163" s="10"/>
      <c r="V163" s="31"/>
      <c r="W163" s="10"/>
      <c r="X163" s="10"/>
      <c r="Y163" s="10"/>
      <c r="Z163" s="11">
        <f t="shared" ref="Z163" si="71">SUM(Q163:Y163)</f>
        <v>4998</v>
      </c>
      <c r="AA163" s="10">
        <f t="shared" ref="AA163" si="72">G163-Z163</f>
        <v>0</v>
      </c>
      <c r="AB163" s="3"/>
    </row>
    <row r="164" spans="1:28" ht="17.25" customHeight="1" x14ac:dyDescent="0.25">
      <c r="A164" s="7">
        <v>160</v>
      </c>
      <c r="B164" s="7">
        <v>564</v>
      </c>
      <c r="C164" s="12" t="s">
        <v>1290</v>
      </c>
      <c r="D164" s="13">
        <v>45657</v>
      </c>
      <c r="E164" s="6" t="s">
        <v>93</v>
      </c>
      <c r="F164" s="17" t="s">
        <v>115</v>
      </c>
      <c r="G164" s="10">
        <v>2475</v>
      </c>
      <c r="H164" s="10">
        <v>2475</v>
      </c>
      <c r="I164" s="10"/>
      <c r="J164" s="10"/>
      <c r="K164" s="10"/>
      <c r="L164" s="10"/>
      <c r="M164" s="10"/>
      <c r="N164" s="10"/>
      <c r="O164" s="10"/>
      <c r="P164" s="10"/>
      <c r="Q164" s="10">
        <v>2475</v>
      </c>
      <c r="R164" s="10"/>
      <c r="S164" s="10"/>
      <c r="T164" s="10"/>
      <c r="U164" s="10"/>
      <c r="V164" s="31"/>
      <c r="W164" s="10"/>
      <c r="X164" s="10"/>
      <c r="Y164" s="10"/>
      <c r="Z164" s="11">
        <f t="shared" ref="Z164" si="73">SUM(Q164:Y164)</f>
        <v>2475</v>
      </c>
      <c r="AA164" s="10">
        <f t="shared" ref="AA164" si="74">G164-Z164</f>
        <v>0</v>
      </c>
      <c r="AB164" s="3"/>
    </row>
    <row r="165" spans="1:28" ht="17.25" customHeight="1" x14ac:dyDescent="0.25">
      <c r="A165" s="7">
        <v>161</v>
      </c>
      <c r="B165" s="7">
        <v>567</v>
      </c>
      <c r="C165" s="12" t="s">
        <v>1290</v>
      </c>
      <c r="D165" s="13">
        <v>45657</v>
      </c>
      <c r="E165" s="6" t="s">
        <v>93</v>
      </c>
      <c r="F165" s="17" t="s">
        <v>115</v>
      </c>
      <c r="G165" s="10">
        <v>1240</v>
      </c>
      <c r="H165" s="10">
        <v>1240</v>
      </c>
      <c r="I165" s="10"/>
      <c r="J165" s="10"/>
      <c r="K165" s="10"/>
      <c r="L165" s="10"/>
      <c r="M165" s="10"/>
      <c r="N165" s="10"/>
      <c r="O165" s="10"/>
      <c r="P165" s="10"/>
      <c r="Q165" s="10">
        <v>1240</v>
      </c>
      <c r="R165" s="10"/>
      <c r="S165" s="10"/>
      <c r="T165" s="10"/>
      <c r="U165" s="10"/>
      <c r="V165" s="31"/>
      <c r="W165" s="10"/>
      <c r="X165" s="10"/>
      <c r="Y165" s="10"/>
      <c r="Z165" s="11">
        <f t="shared" ref="Z165" si="75">SUM(Q165:Y165)</f>
        <v>1240</v>
      </c>
      <c r="AA165" s="10">
        <f t="shared" ref="AA165" si="76">G165-Z165</f>
        <v>0</v>
      </c>
      <c r="AB165" s="3"/>
    </row>
    <row r="166" spans="1:28" ht="27" customHeight="1" x14ac:dyDescent="0.25">
      <c r="A166" s="7">
        <v>162</v>
      </c>
      <c r="B166" s="7">
        <v>198</v>
      </c>
      <c r="C166" s="12" t="s">
        <v>471</v>
      </c>
      <c r="D166" s="25">
        <v>45657</v>
      </c>
      <c r="E166" s="6" t="s">
        <v>1320</v>
      </c>
      <c r="F166" s="17" t="s">
        <v>1322</v>
      </c>
      <c r="G166" s="10">
        <v>6108.22</v>
      </c>
      <c r="H166" s="10"/>
      <c r="I166" s="10"/>
      <c r="J166" s="10"/>
      <c r="K166" s="10"/>
      <c r="L166" s="10"/>
      <c r="M166" s="10"/>
      <c r="N166" s="10"/>
      <c r="O166" s="10"/>
      <c r="P166" s="10">
        <v>6108.22</v>
      </c>
      <c r="Q166" s="10"/>
      <c r="R166" s="10"/>
      <c r="S166" s="10"/>
      <c r="T166" s="10"/>
      <c r="U166" s="10"/>
      <c r="V166" s="31"/>
      <c r="W166" s="10"/>
      <c r="X166" s="10"/>
      <c r="Y166" s="10">
        <v>6108.22</v>
      </c>
      <c r="Z166" s="11">
        <f t="shared" ref="Z166" si="77">SUM(Q166:Y166)</f>
        <v>6108.22</v>
      </c>
      <c r="AA166" s="10">
        <f t="shared" ref="AA166" si="78">G166-Z166</f>
        <v>0</v>
      </c>
      <c r="AB166" s="3"/>
    </row>
    <row r="167" spans="1:28" ht="18" customHeight="1" x14ac:dyDescent="0.25">
      <c r="A167" s="7">
        <v>163</v>
      </c>
      <c r="B167" s="7">
        <v>425</v>
      </c>
      <c r="C167" s="12" t="s">
        <v>1332</v>
      </c>
      <c r="D167" s="25">
        <v>45657</v>
      </c>
      <c r="E167" s="6" t="s">
        <v>323</v>
      </c>
      <c r="F167" s="17" t="s">
        <v>1333</v>
      </c>
      <c r="G167" s="10">
        <v>3004.08</v>
      </c>
      <c r="H167" s="10"/>
      <c r="I167" s="10"/>
      <c r="J167" s="10"/>
      <c r="K167" s="10"/>
      <c r="L167" s="10"/>
      <c r="M167" s="10"/>
      <c r="N167" s="10"/>
      <c r="O167" s="10"/>
      <c r="P167" s="10">
        <v>3004.08</v>
      </c>
      <c r="Q167" s="10"/>
      <c r="R167" s="10"/>
      <c r="S167" s="10"/>
      <c r="T167" s="10"/>
      <c r="U167" s="10"/>
      <c r="V167" s="31"/>
      <c r="W167" s="10"/>
      <c r="X167" s="10"/>
      <c r="Y167" s="10">
        <v>3004.08</v>
      </c>
      <c r="Z167" s="11">
        <f t="shared" ref="Z167" si="79">SUM(Q167:Y167)</f>
        <v>3004.08</v>
      </c>
      <c r="AA167" s="10">
        <f t="shared" ref="AA167" si="80">G167-Z167</f>
        <v>0</v>
      </c>
      <c r="AB167" s="3"/>
    </row>
    <row r="168" spans="1:28" ht="18" customHeight="1" x14ac:dyDescent="0.25">
      <c r="A168" s="7">
        <v>164</v>
      </c>
      <c r="B168" s="7">
        <v>579</v>
      </c>
      <c r="C168" s="12" t="s">
        <v>1344</v>
      </c>
      <c r="D168" s="25">
        <v>45657</v>
      </c>
      <c r="E168" s="6" t="s">
        <v>687</v>
      </c>
      <c r="F168" s="17" t="s">
        <v>1345</v>
      </c>
      <c r="G168" s="10">
        <v>11362.54</v>
      </c>
      <c r="H168" s="10"/>
      <c r="I168" s="10">
        <v>11362.54</v>
      </c>
      <c r="J168" s="10"/>
      <c r="K168" s="10"/>
      <c r="L168" s="10"/>
      <c r="M168" s="10"/>
      <c r="N168" s="10"/>
      <c r="O168" s="10"/>
      <c r="P168" s="10"/>
      <c r="Q168" s="10"/>
      <c r="R168" s="10">
        <v>11362.54</v>
      </c>
      <c r="S168" s="10"/>
      <c r="T168" s="10"/>
      <c r="U168" s="10"/>
      <c r="V168" s="31"/>
      <c r="W168" s="10"/>
      <c r="X168" s="10"/>
      <c r="Y168" s="10"/>
      <c r="Z168" s="11">
        <f t="shared" ref="Z168" si="81">SUM(Q168:Y168)</f>
        <v>11362.54</v>
      </c>
      <c r="AA168" s="10">
        <f t="shared" ref="AA168" si="82">G168-Z168</f>
        <v>0</v>
      </c>
      <c r="AB168" s="3"/>
    </row>
    <row r="169" spans="1:28" ht="18" customHeight="1" x14ac:dyDescent="0.25">
      <c r="A169" s="7">
        <v>165</v>
      </c>
      <c r="B169" s="7">
        <v>576</v>
      </c>
      <c r="C169" s="12" t="s">
        <v>1347</v>
      </c>
      <c r="D169" s="25">
        <v>45657</v>
      </c>
      <c r="E169" s="6" t="s">
        <v>214</v>
      </c>
      <c r="F169" s="17" t="s">
        <v>115</v>
      </c>
      <c r="G169" s="10">
        <v>2823</v>
      </c>
      <c r="H169" s="10"/>
      <c r="I169" s="10"/>
      <c r="J169" s="10">
        <v>2823</v>
      </c>
      <c r="K169" s="10"/>
      <c r="L169" s="10"/>
      <c r="M169" s="10"/>
      <c r="N169" s="10"/>
      <c r="O169" s="10"/>
      <c r="P169" s="10"/>
      <c r="Q169" s="10"/>
      <c r="R169" s="10"/>
      <c r="S169" s="10">
        <v>2823</v>
      </c>
      <c r="T169" s="10"/>
      <c r="U169" s="10"/>
      <c r="V169" s="31"/>
      <c r="W169" s="10"/>
      <c r="X169" s="10"/>
      <c r="Y169" s="10"/>
      <c r="Z169" s="11">
        <f t="shared" ref="Z169:Z184" si="83">SUM(Q169:Y169)</f>
        <v>2823</v>
      </c>
      <c r="AA169" s="10">
        <f t="shared" ref="AA169:AA184" si="84">G169-Z169</f>
        <v>0</v>
      </c>
      <c r="AB169" s="3"/>
    </row>
    <row r="170" spans="1:28" ht="18" customHeight="1" x14ac:dyDescent="0.25">
      <c r="A170" s="7">
        <v>166</v>
      </c>
      <c r="B170" s="7">
        <v>577</v>
      </c>
      <c r="C170" s="12" t="s">
        <v>1347</v>
      </c>
      <c r="D170" s="25">
        <v>45657</v>
      </c>
      <c r="E170" s="6" t="s">
        <v>214</v>
      </c>
      <c r="F170" s="17" t="s">
        <v>115</v>
      </c>
      <c r="G170" s="10">
        <v>12221</v>
      </c>
      <c r="H170" s="10"/>
      <c r="I170" s="10"/>
      <c r="J170" s="10">
        <v>12221</v>
      </c>
      <c r="K170" s="10"/>
      <c r="L170" s="10"/>
      <c r="M170" s="10"/>
      <c r="N170" s="10"/>
      <c r="O170" s="10"/>
      <c r="P170" s="10"/>
      <c r="Q170" s="10"/>
      <c r="R170" s="10"/>
      <c r="S170" s="10">
        <v>12221</v>
      </c>
      <c r="T170" s="10"/>
      <c r="U170" s="10"/>
      <c r="V170" s="31"/>
      <c r="W170" s="10"/>
      <c r="X170" s="10"/>
      <c r="Y170" s="10"/>
      <c r="Z170" s="11">
        <f t="shared" si="83"/>
        <v>12221</v>
      </c>
      <c r="AA170" s="10">
        <f t="shared" si="84"/>
        <v>0</v>
      </c>
      <c r="AB170" s="3"/>
    </row>
    <row r="171" spans="1:28" ht="18" customHeight="1" x14ac:dyDescent="0.25">
      <c r="A171" s="7">
        <v>167</v>
      </c>
      <c r="B171" s="7">
        <v>583</v>
      </c>
      <c r="C171" s="12" t="s">
        <v>1348</v>
      </c>
      <c r="D171" s="13">
        <v>45657</v>
      </c>
      <c r="E171" s="6" t="s">
        <v>93</v>
      </c>
      <c r="F171" s="17" t="s">
        <v>115</v>
      </c>
      <c r="G171" s="10">
        <v>6500</v>
      </c>
      <c r="H171" s="10"/>
      <c r="I171" s="10">
        <v>6500</v>
      </c>
      <c r="J171" s="10"/>
      <c r="K171" s="10"/>
      <c r="L171" s="10"/>
      <c r="M171" s="10"/>
      <c r="N171" s="10"/>
      <c r="O171" s="10"/>
      <c r="P171" s="10"/>
      <c r="Q171" s="10"/>
      <c r="R171" s="10">
        <v>6500</v>
      </c>
      <c r="S171" s="10"/>
      <c r="T171" s="10"/>
      <c r="U171" s="10"/>
      <c r="V171" s="31"/>
      <c r="W171" s="10"/>
      <c r="X171" s="10"/>
      <c r="Y171" s="10"/>
      <c r="Z171" s="11">
        <f t="shared" si="83"/>
        <v>6500</v>
      </c>
      <c r="AA171" s="10">
        <f t="shared" si="84"/>
        <v>0</v>
      </c>
      <c r="AB171" s="3"/>
    </row>
    <row r="172" spans="1:28" ht="18" customHeight="1" x14ac:dyDescent="0.25">
      <c r="A172" s="7">
        <v>168</v>
      </c>
      <c r="B172" s="7">
        <v>626</v>
      </c>
      <c r="C172" s="12" t="s">
        <v>1375</v>
      </c>
      <c r="D172" s="13">
        <v>45657</v>
      </c>
      <c r="E172" s="6" t="s">
        <v>1376</v>
      </c>
      <c r="F172" s="17" t="s">
        <v>115</v>
      </c>
      <c r="G172" s="10">
        <v>5374</v>
      </c>
      <c r="H172" s="10"/>
      <c r="I172" s="10">
        <v>5374</v>
      </c>
      <c r="J172" s="10"/>
      <c r="K172" s="10"/>
      <c r="L172" s="10"/>
      <c r="M172" s="10"/>
      <c r="N172" s="10"/>
      <c r="O172" s="10"/>
      <c r="P172" s="10"/>
      <c r="Q172" s="10"/>
      <c r="R172" s="10">
        <v>5374</v>
      </c>
      <c r="S172" s="10"/>
      <c r="T172" s="10"/>
      <c r="U172" s="10"/>
      <c r="V172" s="31"/>
      <c r="W172" s="10"/>
      <c r="X172" s="10"/>
      <c r="Y172" s="10"/>
      <c r="Z172" s="11">
        <f t="shared" ref="Z172" si="85">SUM(Q172:Y172)</f>
        <v>5374</v>
      </c>
      <c r="AA172" s="10">
        <f t="shared" ref="AA172" si="86">G172-Z172</f>
        <v>0</v>
      </c>
      <c r="AB172" s="3"/>
    </row>
    <row r="173" spans="1:28" ht="18" customHeight="1" x14ac:dyDescent="0.25">
      <c r="A173" s="7">
        <v>169</v>
      </c>
      <c r="B173" s="7">
        <v>627</v>
      </c>
      <c r="C173" s="12" t="s">
        <v>1375</v>
      </c>
      <c r="D173" s="13">
        <v>45657</v>
      </c>
      <c r="E173" s="6" t="s">
        <v>1376</v>
      </c>
      <c r="F173" s="17" t="s">
        <v>115</v>
      </c>
      <c r="G173" s="10">
        <v>18784.8</v>
      </c>
      <c r="H173" s="10"/>
      <c r="I173" s="10">
        <v>18784.8</v>
      </c>
      <c r="J173" s="10"/>
      <c r="K173" s="10"/>
      <c r="L173" s="10"/>
      <c r="M173" s="10"/>
      <c r="N173" s="10"/>
      <c r="O173" s="10"/>
      <c r="P173" s="10"/>
      <c r="Q173" s="10"/>
      <c r="R173" s="10">
        <v>18784.8</v>
      </c>
      <c r="S173" s="10"/>
      <c r="T173" s="10"/>
      <c r="U173" s="10"/>
      <c r="V173" s="31"/>
      <c r="W173" s="10"/>
      <c r="X173" s="10"/>
      <c r="Y173" s="10"/>
      <c r="Z173" s="11">
        <f t="shared" ref="Z173" si="87">SUM(Q173:Y173)</f>
        <v>18784.8</v>
      </c>
      <c r="AA173" s="10">
        <f t="shared" ref="AA173" si="88">G173-Z173</f>
        <v>0</v>
      </c>
      <c r="AB173" s="3"/>
    </row>
    <row r="174" spans="1:28" ht="17.25" customHeight="1" x14ac:dyDescent="0.25">
      <c r="A174" s="7">
        <v>170</v>
      </c>
      <c r="B174" s="12" t="s">
        <v>1377</v>
      </c>
      <c r="C174" s="25">
        <v>45555</v>
      </c>
      <c r="D174" s="13">
        <v>45657</v>
      </c>
      <c r="E174" s="6" t="s">
        <v>731</v>
      </c>
      <c r="F174" s="6" t="s">
        <v>202</v>
      </c>
      <c r="G174" s="10">
        <v>1008</v>
      </c>
      <c r="H174" s="10"/>
      <c r="I174" s="10"/>
      <c r="J174" s="10"/>
      <c r="K174" s="10"/>
      <c r="L174" s="10">
        <v>1008</v>
      </c>
      <c r="M174" s="10"/>
      <c r="N174" s="10"/>
      <c r="O174" s="10"/>
      <c r="P174" s="10"/>
      <c r="Q174" s="10"/>
      <c r="R174" s="10"/>
      <c r="S174" s="10"/>
      <c r="T174" s="10"/>
      <c r="U174" s="10">
        <v>1008</v>
      </c>
      <c r="V174" s="10"/>
      <c r="W174" s="10"/>
      <c r="X174" s="10"/>
      <c r="Y174" s="10"/>
      <c r="Z174" s="10">
        <f t="shared" ref="Z174" si="89">SUM(Q174:Y174)</f>
        <v>1008</v>
      </c>
      <c r="AA174" s="10">
        <f t="shared" ref="AA174" si="90">G174-Z174</f>
        <v>0</v>
      </c>
      <c r="AB174" s="3"/>
    </row>
    <row r="175" spans="1:28" ht="17.25" customHeight="1" x14ac:dyDescent="0.25">
      <c r="A175" s="7">
        <v>171</v>
      </c>
      <c r="B175" s="12" t="s">
        <v>1378</v>
      </c>
      <c r="C175" s="25">
        <v>45555</v>
      </c>
      <c r="D175" s="13">
        <v>45657</v>
      </c>
      <c r="E175" s="6" t="s">
        <v>731</v>
      </c>
      <c r="F175" s="6" t="s">
        <v>1379</v>
      </c>
      <c r="G175" s="10">
        <v>12996.79</v>
      </c>
      <c r="H175" s="10"/>
      <c r="I175" s="10"/>
      <c r="J175" s="10"/>
      <c r="K175" s="10"/>
      <c r="L175" s="10">
        <f>3939.49+9057.3</f>
        <v>12996.789999999999</v>
      </c>
      <c r="M175" s="10"/>
      <c r="N175" s="10"/>
      <c r="O175" s="10"/>
      <c r="P175" s="10"/>
      <c r="Q175" s="10"/>
      <c r="R175" s="10"/>
      <c r="S175" s="10"/>
      <c r="T175" s="10"/>
      <c r="U175" s="10">
        <f>3939.49+9057.3</f>
        <v>12996.789999999999</v>
      </c>
      <c r="V175" s="10"/>
      <c r="W175" s="10"/>
      <c r="X175" s="10"/>
      <c r="Y175" s="10"/>
      <c r="Z175" s="10">
        <f t="shared" ref="Z175" si="91">SUM(Q175:Y175)</f>
        <v>12996.789999999999</v>
      </c>
      <c r="AA175" s="10">
        <f t="shared" ref="AA175" si="92">G175-Z175</f>
        <v>0</v>
      </c>
      <c r="AB175" s="3"/>
    </row>
    <row r="176" spans="1:28" ht="25.5" customHeight="1" x14ac:dyDescent="0.25">
      <c r="A176" s="7">
        <v>172</v>
      </c>
      <c r="B176" s="12" t="s">
        <v>1407</v>
      </c>
      <c r="C176" s="25">
        <v>45568</v>
      </c>
      <c r="D176" s="13">
        <v>45657</v>
      </c>
      <c r="E176" s="6" t="s">
        <v>1408</v>
      </c>
      <c r="F176" s="6" t="s">
        <v>90</v>
      </c>
      <c r="G176" s="10">
        <v>153900</v>
      </c>
      <c r="H176" s="10"/>
      <c r="I176" s="10"/>
      <c r="J176" s="10"/>
      <c r="K176" s="10"/>
      <c r="L176" s="10"/>
      <c r="M176" s="10"/>
      <c r="N176" s="10"/>
      <c r="O176" s="10"/>
      <c r="P176" s="10">
        <v>25650</v>
      </c>
      <c r="Q176" s="10"/>
      <c r="R176" s="10"/>
      <c r="S176" s="10"/>
      <c r="T176" s="10"/>
      <c r="U176" s="10"/>
      <c r="V176" s="10"/>
      <c r="W176" s="10"/>
      <c r="X176" s="10"/>
      <c r="Y176" s="10">
        <v>25650</v>
      </c>
      <c r="Z176" s="10">
        <f t="shared" ref="Z176" si="93">SUM(Q176:Y176)</f>
        <v>25650</v>
      </c>
      <c r="AA176" s="10">
        <f t="shared" ref="AA176" si="94">G176-Z176</f>
        <v>128250</v>
      </c>
      <c r="AB176" s="3"/>
    </row>
    <row r="177" spans="1:28" ht="19.5" customHeight="1" x14ac:dyDescent="0.25">
      <c r="A177" s="7">
        <v>173</v>
      </c>
      <c r="B177" s="12" t="s">
        <v>1414</v>
      </c>
      <c r="C177" s="25">
        <v>45590</v>
      </c>
      <c r="D177" s="13">
        <v>45657</v>
      </c>
      <c r="E177" s="6" t="s">
        <v>872</v>
      </c>
      <c r="F177" s="6" t="s">
        <v>153</v>
      </c>
      <c r="G177" s="10">
        <v>2400</v>
      </c>
      <c r="H177" s="10"/>
      <c r="I177" s="10"/>
      <c r="J177" s="10"/>
      <c r="K177" s="10">
        <v>2400</v>
      </c>
      <c r="L177" s="10"/>
      <c r="M177" s="10"/>
      <c r="N177" s="10"/>
      <c r="O177" s="10"/>
      <c r="P177" s="10"/>
      <c r="Q177" s="10"/>
      <c r="R177" s="10"/>
      <c r="S177" s="10"/>
      <c r="T177" s="10">
        <v>2400</v>
      </c>
      <c r="U177" s="10"/>
      <c r="V177" s="10"/>
      <c r="W177" s="10"/>
      <c r="X177" s="10"/>
      <c r="Y177" s="10"/>
      <c r="Z177" s="10">
        <f t="shared" ref="Z177" si="95">SUM(Q177:Y177)</f>
        <v>2400</v>
      </c>
      <c r="AA177" s="10">
        <f t="shared" ref="AA177" si="96">G177-Z177</f>
        <v>0</v>
      </c>
      <c r="AB177" s="3"/>
    </row>
    <row r="178" spans="1:28" ht="19.5" customHeight="1" x14ac:dyDescent="0.25">
      <c r="A178" s="7">
        <v>174</v>
      </c>
      <c r="B178" s="12" t="s">
        <v>1440</v>
      </c>
      <c r="C178" s="25">
        <v>45576</v>
      </c>
      <c r="D178" s="13">
        <v>45657</v>
      </c>
      <c r="E178" s="6" t="s">
        <v>1441</v>
      </c>
      <c r="F178" s="6" t="s">
        <v>1442</v>
      </c>
      <c r="G178" s="10">
        <v>5420</v>
      </c>
      <c r="H178" s="10"/>
      <c r="I178" s="10"/>
      <c r="J178" s="10">
        <v>5420</v>
      </c>
      <c r="K178" s="10"/>
      <c r="L178" s="10"/>
      <c r="M178" s="10"/>
      <c r="N178" s="10"/>
      <c r="O178" s="10"/>
      <c r="P178" s="10"/>
      <c r="Q178" s="10"/>
      <c r="R178" s="10"/>
      <c r="S178" s="10">
        <v>5420</v>
      </c>
      <c r="T178" s="10"/>
      <c r="U178" s="10"/>
      <c r="V178" s="10"/>
      <c r="W178" s="10"/>
      <c r="X178" s="10"/>
      <c r="Y178" s="10"/>
      <c r="Z178" s="10">
        <f t="shared" ref="Z178" si="97">SUM(Q178:Y178)</f>
        <v>5420</v>
      </c>
      <c r="AA178" s="10">
        <f t="shared" ref="AA178" si="98">G178-Z178</f>
        <v>0</v>
      </c>
      <c r="AB178" s="3"/>
    </row>
    <row r="179" spans="1:28" ht="19.5" customHeight="1" x14ac:dyDescent="0.25">
      <c r="A179" s="7">
        <v>175</v>
      </c>
      <c r="B179" s="12" t="s">
        <v>1447</v>
      </c>
      <c r="C179" s="25">
        <v>45602</v>
      </c>
      <c r="D179" s="13">
        <v>45657</v>
      </c>
      <c r="E179" s="6" t="s">
        <v>1448</v>
      </c>
      <c r="F179" s="6" t="s">
        <v>1449</v>
      </c>
      <c r="G179" s="10">
        <v>22240</v>
      </c>
      <c r="H179" s="10"/>
      <c r="I179" s="10"/>
      <c r="J179" s="10"/>
      <c r="K179" s="10"/>
      <c r="L179" s="10"/>
      <c r="M179" s="10"/>
      <c r="N179" s="10"/>
      <c r="O179" s="10"/>
      <c r="P179" s="10">
        <v>22240</v>
      </c>
      <c r="Q179" s="10"/>
      <c r="R179" s="10"/>
      <c r="S179" s="10"/>
      <c r="T179" s="10"/>
      <c r="U179" s="10"/>
      <c r="V179" s="10"/>
      <c r="W179" s="10"/>
      <c r="X179" s="10"/>
      <c r="Y179" s="10">
        <v>22240</v>
      </c>
      <c r="Z179" s="10">
        <f t="shared" ref="Z179" si="99">SUM(Q179:Y179)</f>
        <v>22240</v>
      </c>
      <c r="AA179" s="10">
        <f t="shared" ref="AA179" si="100">G179-Z179</f>
        <v>0</v>
      </c>
      <c r="AB179" s="3"/>
    </row>
    <row r="180" spans="1:28" ht="19.5" customHeight="1" x14ac:dyDescent="0.25">
      <c r="A180" s="7">
        <v>176</v>
      </c>
      <c r="B180" s="12" t="s">
        <v>1464</v>
      </c>
      <c r="C180" s="25">
        <v>45555</v>
      </c>
      <c r="D180" s="13">
        <v>45657</v>
      </c>
      <c r="E180" s="6" t="s">
        <v>731</v>
      </c>
      <c r="F180" s="6" t="s">
        <v>1465</v>
      </c>
      <c r="G180" s="10">
        <v>61545</v>
      </c>
      <c r="H180" s="10"/>
      <c r="I180" s="10"/>
      <c r="J180" s="10"/>
      <c r="K180" s="10">
        <v>3974.33</v>
      </c>
      <c r="L180" s="10">
        <v>57570.67</v>
      </c>
      <c r="M180" s="10"/>
      <c r="N180" s="10"/>
      <c r="O180" s="10"/>
      <c r="P180" s="10"/>
      <c r="Q180" s="10"/>
      <c r="R180" s="10"/>
      <c r="S180" s="10"/>
      <c r="T180" s="10">
        <v>3974.33</v>
      </c>
      <c r="U180" s="10">
        <v>57570.67</v>
      </c>
      <c r="V180" s="10"/>
      <c r="W180" s="10"/>
      <c r="X180" s="10"/>
      <c r="Y180" s="10"/>
      <c r="Z180" s="10">
        <f t="shared" ref="Z180" si="101">SUM(Q180:Y180)</f>
        <v>61545</v>
      </c>
      <c r="AA180" s="10">
        <f t="shared" ref="AA180" si="102">G180-Z180</f>
        <v>0</v>
      </c>
      <c r="AB180" s="3"/>
    </row>
    <row r="181" spans="1:28" ht="19.5" customHeight="1" x14ac:dyDescent="0.25">
      <c r="A181" s="7">
        <v>177</v>
      </c>
      <c r="B181" s="12" t="s">
        <v>1475</v>
      </c>
      <c r="C181" s="25">
        <v>45356</v>
      </c>
      <c r="D181" s="13">
        <v>45657</v>
      </c>
      <c r="E181" s="6" t="s">
        <v>1476</v>
      </c>
      <c r="F181" s="6" t="s">
        <v>1477</v>
      </c>
      <c r="G181" s="10">
        <v>1275</v>
      </c>
      <c r="H181" s="10">
        <v>1275</v>
      </c>
      <c r="I181" s="10"/>
      <c r="J181" s="10"/>
      <c r="K181" s="10"/>
      <c r="L181" s="10"/>
      <c r="M181" s="10"/>
      <c r="N181" s="10"/>
      <c r="O181" s="10"/>
      <c r="P181" s="10"/>
      <c r="Q181" s="10">
        <v>1275</v>
      </c>
      <c r="R181" s="10"/>
      <c r="S181" s="10"/>
      <c r="T181" s="10"/>
      <c r="U181" s="10"/>
      <c r="V181" s="10"/>
      <c r="W181" s="10"/>
      <c r="X181" s="10"/>
      <c r="Y181" s="10"/>
      <c r="Z181" s="10">
        <f t="shared" ref="Z181" si="103">SUM(Q181:Y181)</f>
        <v>1275</v>
      </c>
      <c r="AA181" s="10">
        <f t="shared" ref="AA181" si="104">G181-Z181</f>
        <v>0</v>
      </c>
      <c r="AB181" s="3"/>
    </row>
    <row r="182" spans="1:28" ht="19.5" customHeight="1" x14ac:dyDescent="0.25">
      <c r="A182" s="7">
        <v>178</v>
      </c>
      <c r="B182" s="12" t="s">
        <v>1478</v>
      </c>
      <c r="C182" s="25">
        <v>45568</v>
      </c>
      <c r="D182" s="13">
        <v>45657</v>
      </c>
      <c r="E182" s="6" t="s">
        <v>1479</v>
      </c>
      <c r="F182" s="17" t="s">
        <v>115</v>
      </c>
      <c r="G182" s="10">
        <v>6209</v>
      </c>
      <c r="H182" s="10">
        <v>6209</v>
      </c>
      <c r="I182" s="10"/>
      <c r="J182" s="10"/>
      <c r="K182" s="10"/>
      <c r="L182" s="10"/>
      <c r="M182" s="10"/>
      <c r="N182" s="10"/>
      <c r="O182" s="10"/>
      <c r="P182" s="10"/>
      <c r="Q182" s="10">
        <v>6209</v>
      </c>
      <c r="R182" s="10"/>
      <c r="S182" s="10"/>
      <c r="T182" s="10"/>
      <c r="U182" s="10"/>
      <c r="V182" s="10"/>
      <c r="W182" s="10"/>
      <c r="X182" s="10"/>
      <c r="Y182" s="10"/>
      <c r="Z182" s="10">
        <f t="shared" ref="Z182" si="105">SUM(Q182:Y182)</f>
        <v>6209</v>
      </c>
      <c r="AA182" s="10">
        <f t="shared" ref="AA182" si="106">G182-Z182</f>
        <v>0</v>
      </c>
      <c r="AB182" s="3"/>
    </row>
    <row r="183" spans="1:28" ht="25.5" customHeight="1" x14ac:dyDescent="0.25">
      <c r="A183" s="7"/>
      <c r="B183" s="12"/>
      <c r="C183" s="25"/>
      <c r="D183" s="13"/>
      <c r="E183" s="6"/>
      <c r="F183" s="6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1"/>
      <c r="AA183" s="10"/>
      <c r="AB183" s="3"/>
    </row>
    <row r="184" spans="1:28" x14ac:dyDescent="0.25">
      <c r="A184" s="7"/>
      <c r="B184" s="18"/>
      <c r="C184" s="9"/>
      <c r="D184" s="9"/>
      <c r="E184" s="5"/>
      <c r="F184" s="5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1">
        <f t="shared" si="83"/>
        <v>0</v>
      </c>
      <c r="AA184" s="10">
        <f t="shared" si="84"/>
        <v>0</v>
      </c>
      <c r="AB184" s="3"/>
    </row>
    <row r="185" spans="1:28" ht="15.75" customHeight="1" x14ac:dyDescent="0.25">
      <c r="A185" s="62" t="s">
        <v>14</v>
      </c>
      <c r="B185" s="62"/>
      <c r="C185" s="62"/>
      <c r="D185" s="62"/>
      <c r="E185" s="62"/>
      <c r="F185" s="62"/>
      <c r="G185" s="16">
        <f t="shared" ref="G185:AA185" si="107">SUM(G5:G184)</f>
        <v>3997947.24</v>
      </c>
      <c r="H185" s="16">
        <f t="shared" si="107"/>
        <v>395447.69</v>
      </c>
      <c r="I185" s="16">
        <f t="shared" si="107"/>
        <v>405606.99999999994</v>
      </c>
      <c r="J185" s="16"/>
      <c r="K185" s="16">
        <f t="shared" si="107"/>
        <v>81674.33</v>
      </c>
      <c r="L185" s="16">
        <f t="shared" si="107"/>
        <v>182279.16999999998</v>
      </c>
      <c r="M185" s="16">
        <f t="shared" si="107"/>
        <v>1107842.6000000001</v>
      </c>
      <c r="N185" s="16">
        <f t="shared" si="107"/>
        <v>0</v>
      </c>
      <c r="O185" s="16">
        <f t="shared" si="107"/>
        <v>35625</v>
      </c>
      <c r="P185" s="16">
        <f t="shared" si="107"/>
        <v>1100278.1600000001</v>
      </c>
      <c r="Q185" s="16">
        <f t="shared" si="107"/>
        <v>395447.69</v>
      </c>
      <c r="R185" s="16">
        <f t="shared" si="107"/>
        <v>405606.99999999994</v>
      </c>
      <c r="S185" s="16"/>
      <c r="T185" s="16">
        <f t="shared" si="107"/>
        <v>81674.33</v>
      </c>
      <c r="U185" s="16">
        <f t="shared" si="107"/>
        <v>182279.16999999998</v>
      </c>
      <c r="V185" s="16">
        <f t="shared" si="107"/>
        <v>1107842.6000000001</v>
      </c>
      <c r="W185" s="16">
        <f t="shared" si="107"/>
        <v>0</v>
      </c>
      <c r="X185" s="16">
        <f t="shared" si="107"/>
        <v>35625</v>
      </c>
      <c r="Y185" s="16">
        <f t="shared" si="107"/>
        <v>1100278.1600000001</v>
      </c>
      <c r="Z185" s="16">
        <f t="shared" si="107"/>
        <v>3331627.95</v>
      </c>
      <c r="AA185" s="16">
        <f t="shared" si="107"/>
        <v>666319.29</v>
      </c>
      <c r="AB185" s="3"/>
    </row>
    <row r="188" spans="1:28" x14ac:dyDescent="0.25">
      <c r="M188" s="1"/>
    </row>
  </sheetData>
  <mergeCells count="31">
    <mergeCell ref="V2:V3"/>
    <mergeCell ref="O2:O3"/>
    <mergeCell ref="I2:I3"/>
    <mergeCell ref="G1:G3"/>
    <mergeCell ref="A1:A3"/>
    <mergeCell ref="B1:B3"/>
    <mergeCell ref="D1:D3"/>
    <mergeCell ref="E1:E3"/>
    <mergeCell ref="F1:F3"/>
    <mergeCell ref="N2:N3"/>
    <mergeCell ref="Q2:Q3"/>
    <mergeCell ref="Q1:Y1"/>
    <mergeCell ref="L2:L3"/>
    <mergeCell ref="J2:J3"/>
    <mergeCell ref="S2:S3"/>
    <mergeCell ref="A185:F185"/>
    <mergeCell ref="H1:P1"/>
    <mergeCell ref="H2:H3"/>
    <mergeCell ref="R2:R3"/>
    <mergeCell ref="C1:C3"/>
    <mergeCell ref="A4:AA4"/>
    <mergeCell ref="Z1:Z3"/>
    <mergeCell ref="K2:K3"/>
    <mergeCell ref="T2:T3"/>
    <mergeCell ref="AA1:AA3"/>
    <mergeCell ref="M2:M3"/>
    <mergeCell ref="P2:P3"/>
    <mergeCell ref="Y2:Y3"/>
    <mergeCell ref="U2:U3"/>
    <mergeCell ref="W2:W3"/>
    <mergeCell ref="X2:X3"/>
  </mergeCells>
  <pageMargins left="0.19685039370078741" right="0.19685039370078741" top="0.19685039370078741" bottom="0.19685039370078741" header="0.31496062992125984" footer="0.31496062992125984"/>
  <pageSetup paperSize="9" scale="43" fitToHeight="0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E23F2-4C3E-4682-92BC-0C086652DA24}">
  <sheetPr>
    <pageSetUpPr fitToPage="1"/>
  </sheetPr>
  <dimension ref="A1:Z11"/>
  <sheetViews>
    <sheetView tabSelected="1" zoomScale="75" zoomScaleNormal="75" workbookViewId="0">
      <pane xSplit="14" ySplit="3" topLeftCell="O4" activePane="bottomRight" state="frozen"/>
      <selection pane="topRight" activeCell="J1" sqref="J1"/>
      <selection pane="bottomLeft" activeCell="A14" sqref="A14"/>
      <selection pane="bottomRight" activeCell="L23" sqref="L23"/>
    </sheetView>
  </sheetViews>
  <sheetFormatPr defaultRowHeight="15" x14ac:dyDescent="0.25"/>
  <cols>
    <col min="1" max="1" width="3.7109375" customWidth="1"/>
    <col min="2" max="2" width="8.85546875" customWidth="1"/>
    <col min="3" max="3" width="7.7109375" customWidth="1"/>
    <col min="4" max="4" width="8.140625" customWidth="1"/>
    <col min="5" max="5" width="28.140625" customWidth="1"/>
    <col min="6" max="6" width="31.85546875" customWidth="1"/>
    <col min="7" max="7" width="13.28515625" customWidth="1"/>
    <col min="8" max="8" width="12.5703125" customWidth="1"/>
    <col min="9" max="9" width="12.140625" customWidth="1"/>
    <col min="10" max="10" width="12.5703125" customWidth="1"/>
    <col min="11" max="11" width="12.140625" customWidth="1"/>
    <col min="12" max="13" width="12.7109375" customWidth="1"/>
    <col min="14" max="14" width="12.28515625" customWidth="1"/>
    <col min="15" max="15" width="11.28515625" customWidth="1"/>
    <col min="16" max="17" width="12" customWidth="1"/>
    <col min="18" max="18" width="11.42578125" customWidth="1"/>
    <col min="19" max="19" width="12" customWidth="1"/>
    <col min="20" max="21" width="11.5703125" customWidth="1"/>
    <col min="22" max="22" width="13.140625" customWidth="1"/>
    <col min="23" max="23" width="11.140625" customWidth="1"/>
    <col min="24" max="24" width="12.42578125" customWidth="1"/>
    <col min="25" max="26" width="13" customWidth="1"/>
    <col min="27" max="27" width="13.140625" customWidth="1"/>
  </cols>
  <sheetData>
    <row r="1" spans="1:26" ht="15" customHeight="1" x14ac:dyDescent="0.25">
      <c r="A1" s="66" t="s">
        <v>0</v>
      </c>
      <c r="B1" s="66" t="s">
        <v>1</v>
      </c>
      <c r="C1" s="66" t="s">
        <v>22</v>
      </c>
      <c r="D1" s="66" t="s">
        <v>21</v>
      </c>
      <c r="E1" s="66" t="s">
        <v>289</v>
      </c>
      <c r="F1" s="66" t="s">
        <v>3</v>
      </c>
      <c r="G1" s="66" t="s">
        <v>4</v>
      </c>
      <c r="H1" s="66" t="s">
        <v>7</v>
      </c>
      <c r="I1" s="66"/>
      <c r="J1" s="66"/>
      <c r="K1" s="66"/>
      <c r="L1" s="66"/>
      <c r="M1" s="66"/>
      <c r="N1" s="66"/>
      <c r="O1" s="66"/>
      <c r="P1" s="66" t="s">
        <v>314</v>
      </c>
      <c r="Q1" s="66"/>
      <c r="R1" s="66"/>
      <c r="S1" s="66"/>
      <c r="T1" s="66"/>
      <c r="U1" s="66"/>
      <c r="V1" s="66"/>
      <c r="W1" s="66"/>
      <c r="X1" s="66" t="s">
        <v>6</v>
      </c>
      <c r="Y1" s="66" t="s">
        <v>315</v>
      </c>
    </row>
    <row r="2" spans="1:26" ht="27.75" customHeight="1" x14ac:dyDescent="0.25">
      <c r="A2" s="66"/>
      <c r="B2" s="66"/>
      <c r="C2" s="66"/>
      <c r="D2" s="66"/>
      <c r="E2" s="66"/>
      <c r="F2" s="66"/>
      <c r="G2" s="66"/>
      <c r="H2" s="66" t="s">
        <v>307</v>
      </c>
      <c r="I2" s="66" t="s">
        <v>308</v>
      </c>
      <c r="J2" s="66" t="s">
        <v>309</v>
      </c>
      <c r="K2" s="66" t="s">
        <v>310</v>
      </c>
      <c r="L2" s="66" t="s">
        <v>311</v>
      </c>
      <c r="M2" s="70" t="s">
        <v>312</v>
      </c>
      <c r="N2" s="66" t="s">
        <v>313</v>
      </c>
      <c r="O2" s="66" t="s">
        <v>5</v>
      </c>
      <c r="P2" s="66" t="s">
        <v>307</v>
      </c>
      <c r="Q2" s="66" t="s">
        <v>308</v>
      </c>
      <c r="R2" s="66" t="s">
        <v>309</v>
      </c>
      <c r="S2" s="66" t="s">
        <v>310</v>
      </c>
      <c r="T2" s="66" t="s">
        <v>311</v>
      </c>
      <c r="U2" s="70" t="s">
        <v>312</v>
      </c>
      <c r="V2" s="66" t="s">
        <v>313</v>
      </c>
      <c r="W2" s="66" t="s">
        <v>5</v>
      </c>
      <c r="X2" s="66"/>
      <c r="Y2" s="66"/>
    </row>
    <row r="3" spans="1:26" ht="39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70"/>
      <c r="N3" s="66"/>
      <c r="O3" s="66"/>
      <c r="P3" s="66"/>
      <c r="Q3" s="66"/>
      <c r="R3" s="66"/>
      <c r="S3" s="66"/>
      <c r="T3" s="66"/>
      <c r="U3" s="70"/>
      <c r="V3" s="66"/>
      <c r="W3" s="66"/>
      <c r="X3" s="66"/>
      <c r="Y3" s="66"/>
    </row>
    <row r="4" spans="1:26" ht="15.75" customHeight="1" x14ac:dyDescent="0.25">
      <c r="A4" s="67" t="s">
        <v>27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3"/>
    </row>
    <row r="5" spans="1:26" ht="126.75" customHeight="1" x14ac:dyDescent="0.25">
      <c r="A5" s="8">
        <v>1</v>
      </c>
      <c r="B5" s="12" t="s">
        <v>1411</v>
      </c>
      <c r="C5" s="13">
        <v>45467</v>
      </c>
      <c r="D5" s="12" t="s">
        <v>42</v>
      </c>
      <c r="E5" s="4" t="s">
        <v>1413</v>
      </c>
      <c r="F5" s="6" t="s">
        <v>1412</v>
      </c>
      <c r="G5" s="10">
        <v>325880.59000000003</v>
      </c>
      <c r="H5" s="10"/>
      <c r="I5" s="10"/>
      <c r="J5" s="10"/>
      <c r="K5" s="10"/>
      <c r="L5" s="10"/>
      <c r="M5" s="10">
        <v>150718.07</v>
      </c>
      <c r="N5" s="10">
        <v>175162.52</v>
      </c>
      <c r="O5" s="10"/>
      <c r="P5" s="10"/>
      <c r="Q5" s="10"/>
      <c r="R5" s="10"/>
      <c r="S5" s="10"/>
      <c r="T5" s="10"/>
      <c r="U5" s="10"/>
      <c r="V5" s="54">
        <f>101127+7499.86+66535.66</f>
        <v>175162.52000000002</v>
      </c>
      <c r="W5" s="10"/>
      <c r="X5" s="10">
        <f>SUM(P5:W5)</f>
        <v>175162.52000000002</v>
      </c>
      <c r="Y5" s="10">
        <f>G5-X5</f>
        <v>150718.07</v>
      </c>
      <c r="Z5" s="3"/>
    </row>
    <row r="6" spans="1:26" ht="16.5" customHeight="1" x14ac:dyDescent="0.25">
      <c r="A6" s="8"/>
      <c r="B6" s="12"/>
      <c r="C6" s="25"/>
      <c r="D6" s="13"/>
      <c r="E6" s="4"/>
      <c r="F6" s="6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3"/>
    </row>
    <row r="7" spans="1:26" ht="15.75" x14ac:dyDescent="0.25">
      <c r="A7" s="8"/>
      <c r="B7" s="12"/>
      <c r="C7" s="13"/>
      <c r="D7" s="12"/>
      <c r="E7" s="4"/>
      <c r="F7" s="2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>
        <f t="shared" ref="X7" si="0">SUM(P7:W7)</f>
        <v>0</v>
      </c>
      <c r="Y7" s="10">
        <f t="shared" ref="Y7" si="1">G7-X7</f>
        <v>0</v>
      </c>
      <c r="Z7" s="3"/>
    </row>
    <row r="8" spans="1:26" ht="15.75" customHeight="1" x14ac:dyDescent="0.25">
      <c r="A8" s="62" t="s">
        <v>28</v>
      </c>
      <c r="B8" s="62"/>
      <c r="C8" s="62"/>
      <c r="D8" s="62"/>
      <c r="E8" s="62"/>
      <c r="F8" s="62"/>
      <c r="G8" s="16">
        <f>SUM(G5:G7)</f>
        <v>325880.59000000003</v>
      </c>
      <c r="H8" s="16">
        <f t="shared" ref="H8:Y8" si="2">SUM(H5:H7)</f>
        <v>0</v>
      </c>
      <c r="I8" s="16">
        <f t="shared" si="2"/>
        <v>0</v>
      </c>
      <c r="J8" s="16">
        <f t="shared" si="2"/>
        <v>0</v>
      </c>
      <c r="K8" s="16">
        <f t="shared" si="2"/>
        <v>0</v>
      </c>
      <c r="L8" s="16">
        <f t="shared" si="2"/>
        <v>0</v>
      </c>
      <c r="M8" s="16">
        <f t="shared" si="2"/>
        <v>150718.07</v>
      </c>
      <c r="N8" s="16">
        <f t="shared" si="2"/>
        <v>175162.52</v>
      </c>
      <c r="O8" s="16">
        <f t="shared" si="2"/>
        <v>0</v>
      </c>
      <c r="P8" s="16">
        <f t="shared" si="2"/>
        <v>0</v>
      </c>
      <c r="Q8" s="16">
        <f t="shared" si="2"/>
        <v>0</v>
      </c>
      <c r="R8" s="16">
        <f t="shared" si="2"/>
        <v>0</v>
      </c>
      <c r="S8" s="16">
        <f t="shared" si="2"/>
        <v>0</v>
      </c>
      <c r="T8" s="16">
        <f t="shared" si="2"/>
        <v>0</v>
      </c>
      <c r="U8" s="16">
        <f t="shared" si="2"/>
        <v>0</v>
      </c>
      <c r="V8" s="16">
        <f t="shared" si="2"/>
        <v>175162.52000000002</v>
      </c>
      <c r="W8" s="16">
        <f t="shared" si="2"/>
        <v>0</v>
      </c>
      <c r="X8" s="16">
        <f t="shared" si="2"/>
        <v>175162.52000000002</v>
      </c>
      <c r="Y8" s="16">
        <f t="shared" si="2"/>
        <v>150718.07</v>
      </c>
      <c r="Z8" s="3"/>
    </row>
    <row r="9" spans="1:26" x14ac:dyDescent="0.25">
      <c r="Z9" s="3"/>
    </row>
    <row r="10" spans="1:26" x14ac:dyDescent="0.25">
      <c r="Z10" s="3"/>
    </row>
    <row r="11" spans="1:26" x14ac:dyDescent="0.25">
      <c r="G11" s="1"/>
      <c r="H11" s="1"/>
      <c r="I11" s="1"/>
      <c r="J11" s="1"/>
      <c r="K11" s="1"/>
      <c r="Z11" s="3"/>
    </row>
  </sheetData>
  <mergeCells count="29">
    <mergeCell ref="A8:F8"/>
    <mergeCell ref="S2:S3"/>
    <mergeCell ref="T2:T3"/>
    <mergeCell ref="U2:U3"/>
    <mergeCell ref="V2:V3"/>
    <mergeCell ref="K2:K3"/>
    <mergeCell ref="L2:L3"/>
    <mergeCell ref="A1:A3"/>
    <mergeCell ref="B1:B3"/>
    <mergeCell ref="C1:C3"/>
    <mergeCell ref="D1:D3"/>
    <mergeCell ref="E1:E3"/>
    <mergeCell ref="F1:F3"/>
    <mergeCell ref="W2:W3"/>
    <mergeCell ref="A4:Y4"/>
    <mergeCell ref="M2:M3"/>
    <mergeCell ref="N2:N3"/>
    <mergeCell ref="O2:O3"/>
    <mergeCell ref="P2:P3"/>
    <mergeCell ref="Q2:Q3"/>
    <mergeCell ref="R2:R3"/>
    <mergeCell ref="G1:G3"/>
    <mergeCell ref="H1:O1"/>
    <mergeCell ref="P1:W1"/>
    <mergeCell ref="X1:X3"/>
    <mergeCell ref="Y1:Y3"/>
    <mergeCell ref="H2:H3"/>
    <mergeCell ref="I2:I3"/>
    <mergeCell ref="J2:J3"/>
  </mergeCells>
  <pageMargins left="0.19685039370078741" right="0.19685039370078741" top="0.19685039370078741" bottom="0.19685039370078741" header="0.31496062992125984" footer="0.31496062992125984"/>
  <pageSetup paperSize="9" scale="43" fitToHeight="0" orientation="landscape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64413-56C4-4EF1-8675-D5B16FFC71F3}">
  <sheetPr>
    <pageSetUpPr fitToPage="1"/>
  </sheetPr>
  <dimension ref="A1:AB164"/>
  <sheetViews>
    <sheetView zoomScale="75" zoomScaleNormal="75" workbookViewId="0">
      <pane xSplit="15" ySplit="3" topLeftCell="Q137" activePane="bottomRight" state="frozen"/>
      <selection pane="topRight" activeCell="J1" sqref="J1"/>
      <selection pane="bottomLeft" activeCell="A14" sqref="A14"/>
      <selection pane="bottomRight" activeCell="H1" sqref="A1:XFD166"/>
    </sheetView>
  </sheetViews>
  <sheetFormatPr defaultRowHeight="15" x14ac:dyDescent="0.25"/>
  <cols>
    <col min="1" max="1" width="3.7109375" customWidth="1"/>
    <col min="2" max="2" width="8.85546875" customWidth="1"/>
    <col min="3" max="3" width="7.7109375" customWidth="1"/>
    <col min="4" max="4" width="8.140625" customWidth="1"/>
    <col min="5" max="5" width="28.140625" customWidth="1"/>
    <col min="6" max="6" width="31.85546875" customWidth="1"/>
    <col min="7" max="7" width="13.28515625" customWidth="1"/>
    <col min="8" max="8" width="12.5703125" customWidth="1"/>
    <col min="9" max="10" width="12.140625" customWidth="1"/>
    <col min="11" max="11" width="12.5703125" customWidth="1"/>
    <col min="12" max="12" width="12.140625" customWidth="1"/>
    <col min="13" max="14" width="12.7109375" customWidth="1"/>
    <col min="15" max="15" width="11.7109375" customWidth="1"/>
    <col min="16" max="16" width="12.5703125" customWidth="1"/>
    <col min="17" max="19" width="12" customWidth="1"/>
    <col min="20" max="20" width="11.42578125" customWidth="1"/>
    <col min="21" max="21" width="12" customWidth="1"/>
    <col min="22" max="23" width="11.5703125" customWidth="1"/>
    <col min="24" max="24" width="11.85546875" customWidth="1"/>
    <col min="25" max="25" width="13" customWidth="1"/>
    <col min="26" max="26" width="12.42578125" customWidth="1"/>
    <col min="27" max="28" width="13" customWidth="1"/>
    <col min="29" max="29" width="9.140625" customWidth="1"/>
  </cols>
  <sheetData>
    <row r="1" spans="1:28" ht="15" customHeight="1" x14ac:dyDescent="0.25">
      <c r="A1" s="66" t="s">
        <v>0</v>
      </c>
      <c r="B1" s="66" t="s">
        <v>1</v>
      </c>
      <c r="C1" s="66" t="s">
        <v>22</v>
      </c>
      <c r="D1" s="66" t="s">
        <v>21</v>
      </c>
      <c r="E1" s="66" t="s">
        <v>289</v>
      </c>
      <c r="F1" s="66" t="s">
        <v>3</v>
      </c>
      <c r="G1" s="66" t="s">
        <v>4</v>
      </c>
      <c r="H1" s="66" t="s">
        <v>7</v>
      </c>
      <c r="I1" s="66"/>
      <c r="J1" s="66"/>
      <c r="K1" s="66"/>
      <c r="L1" s="66"/>
      <c r="M1" s="66"/>
      <c r="N1" s="66"/>
      <c r="O1" s="66"/>
      <c r="P1" s="66"/>
      <c r="Q1" s="66" t="s">
        <v>314</v>
      </c>
      <c r="R1" s="66"/>
      <c r="S1" s="66"/>
      <c r="T1" s="66"/>
      <c r="U1" s="66"/>
      <c r="V1" s="66"/>
      <c r="W1" s="66"/>
      <c r="X1" s="66"/>
      <c r="Y1" s="66"/>
      <c r="Z1" s="66" t="s">
        <v>6</v>
      </c>
      <c r="AA1" s="66" t="s">
        <v>315</v>
      </c>
    </row>
    <row r="2" spans="1:28" ht="27.75" customHeight="1" x14ac:dyDescent="0.25">
      <c r="A2" s="66"/>
      <c r="B2" s="66"/>
      <c r="C2" s="66"/>
      <c r="D2" s="66"/>
      <c r="E2" s="66"/>
      <c r="F2" s="66"/>
      <c r="G2" s="66"/>
      <c r="H2" s="66" t="s">
        <v>307</v>
      </c>
      <c r="I2" s="66" t="s">
        <v>308</v>
      </c>
      <c r="J2" s="66" t="s">
        <v>962</v>
      </c>
      <c r="K2" s="66" t="s">
        <v>309</v>
      </c>
      <c r="L2" s="66" t="s">
        <v>310</v>
      </c>
      <c r="M2" s="66" t="s">
        <v>311</v>
      </c>
      <c r="N2" s="70" t="s">
        <v>312</v>
      </c>
      <c r="O2" s="66" t="s">
        <v>313</v>
      </c>
      <c r="P2" s="66" t="s">
        <v>5</v>
      </c>
      <c r="Q2" s="66" t="s">
        <v>307</v>
      </c>
      <c r="R2" s="66" t="s">
        <v>308</v>
      </c>
      <c r="S2" s="66" t="s">
        <v>962</v>
      </c>
      <c r="T2" s="68" t="s">
        <v>309</v>
      </c>
      <c r="U2" s="66" t="s">
        <v>310</v>
      </c>
      <c r="V2" s="66" t="s">
        <v>311</v>
      </c>
      <c r="W2" s="70" t="s">
        <v>312</v>
      </c>
      <c r="X2" s="66" t="s">
        <v>313</v>
      </c>
      <c r="Y2" s="66" t="s">
        <v>5</v>
      </c>
      <c r="Z2" s="66"/>
      <c r="AA2" s="66"/>
    </row>
    <row r="3" spans="1:28" ht="39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70"/>
      <c r="O3" s="66"/>
      <c r="P3" s="66"/>
      <c r="Q3" s="66"/>
      <c r="R3" s="66"/>
      <c r="S3" s="66"/>
      <c r="T3" s="69"/>
      <c r="U3" s="66"/>
      <c r="V3" s="66"/>
      <c r="W3" s="70"/>
      <c r="X3" s="66"/>
      <c r="Y3" s="66"/>
      <c r="Z3" s="66"/>
      <c r="AA3" s="66"/>
    </row>
    <row r="4" spans="1:28" s="21" customFormat="1" ht="15.75" customHeight="1" x14ac:dyDescent="0.2">
      <c r="A4" s="67" t="s">
        <v>8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20"/>
    </row>
    <row r="5" spans="1:28" s="21" customFormat="1" ht="22.5" customHeight="1" x14ac:dyDescent="0.2">
      <c r="A5" s="7">
        <v>1</v>
      </c>
      <c r="B5" s="12" t="s">
        <v>33</v>
      </c>
      <c r="C5" s="13">
        <v>44930</v>
      </c>
      <c r="D5" s="13">
        <v>45657</v>
      </c>
      <c r="E5" s="6" t="s">
        <v>34</v>
      </c>
      <c r="F5" s="6" t="s">
        <v>35</v>
      </c>
      <c r="G5" s="10">
        <v>6000</v>
      </c>
      <c r="H5" s="10">
        <v>6000</v>
      </c>
      <c r="I5" s="10"/>
      <c r="J5" s="10"/>
      <c r="K5" s="10"/>
      <c r="L5" s="10"/>
      <c r="M5" s="10"/>
      <c r="N5" s="10"/>
      <c r="O5" s="10"/>
      <c r="P5" s="10"/>
      <c r="Q5" s="10">
        <v>6000</v>
      </c>
      <c r="R5" s="10"/>
      <c r="S5" s="10"/>
      <c r="T5" s="10"/>
      <c r="U5" s="10"/>
      <c r="V5" s="10"/>
      <c r="W5" s="10"/>
      <c r="X5" s="10"/>
      <c r="Y5" s="10"/>
      <c r="Z5" s="10">
        <f>SUM(Q5:Y5)</f>
        <v>6000</v>
      </c>
      <c r="AA5" s="10">
        <f t="shared" ref="AA5:AA68" si="0">G5-Z5</f>
        <v>0</v>
      </c>
      <c r="AB5" s="20"/>
    </row>
    <row r="6" spans="1:28" s="21" customFormat="1" ht="15" customHeight="1" x14ac:dyDescent="0.2">
      <c r="A6" s="7">
        <v>2</v>
      </c>
      <c r="B6" s="12" t="s">
        <v>46</v>
      </c>
      <c r="C6" s="13">
        <v>45273</v>
      </c>
      <c r="D6" s="13">
        <v>45657</v>
      </c>
      <c r="E6" s="6" t="s">
        <v>32</v>
      </c>
      <c r="F6" s="6" t="s">
        <v>47</v>
      </c>
      <c r="G6" s="10">
        <v>20000</v>
      </c>
      <c r="H6" s="10">
        <f>723+723+723+723+723+723+723+723+723+723</f>
        <v>7230</v>
      </c>
      <c r="I6" s="10">
        <f>723+723</f>
        <v>1446</v>
      </c>
      <c r="J6" s="10"/>
      <c r="K6" s="10"/>
      <c r="L6" s="10"/>
      <c r="M6" s="10"/>
      <c r="N6" s="10"/>
      <c r="O6" s="10"/>
      <c r="P6" s="10"/>
      <c r="Q6" s="10">
        <f>723+723+723+723+723+723+723+723+723+723</f>
        <v>7230</v>
      </c>
      <c r="R6" s="10">
        <f>723+723</f>
        <v>1446</v>
      </c>
      <c r="S6" s="10"/>
      <c r="T6" s="10"/>
      <c r="U6" s="10"/>
      <c r="V6" s="10"/>
      <c r="W6" s="10"/>
      <c r="X6" s="10"/>
      <c r="Y6" s="10"/>
      <c r="Z6" s="10">
        <f t="shared" ref="Z6:Z9" si="1">SUM(Q6:Y6)</f>
        <v>8676</v>
      </c>
      <c r="AA6" s="10">
        <f t="shared" si="0"/>
        <v>11324</v>
      </c>
      <c r="AB6" s="20"/>
    </row>
    <row r="7" spans="1:28" s="21" customFormat="1" ht="12.75" x14ac:dyDescent="0.2">
      <c r="A7" s="7">
        <v>3</v>
      </c>
      <c r="B7" s="12" t="s">
        <v>62</v>
      </c>
      <c r="C7" s="9">
        <v>45300</v>
      </c>
      <c r="D7" s="9">
        <v>45657</v>
      </c>
      <c r="E7" s="5" t="s">
        <v>63</v>
      </c>
      <c r="F7" s="5" t="s">
        <v>64</v>
      </c>
      <c r="G7" s="16"/>
      <c r="H7" s="10"/>
      <c r="I7" s="10">
        <v>5268.02</v>
      </c>
      <c r="J7" s="10"/>
      <c r="K7" s="10"/>
      <c r="L7" s="10"/>
      <c r="M7" s="10"/>
      <c r="N7" s="10"/>
      <c r="O7" s="10"/>
      <c r="P7" s="10"/>
      <c r="Q7" s="10"/>
      <c r="R7" s="10">
        <v>5268.02</v>
      </c>
      <c r="S7" s="10"/>
      <c r="T7" s="10"/>
      <c r="U7" s="10"/>
      <c r="V7" s="10"/>
      <c r="W7" s="10"/>
      <c r="X7" s="10"/>
      <c r="Y7" s="10"/>
      <c r="Z7" s="10">
        <f t="shared" si="1"/>
        <v>5268.02</v>
      </c>
      <c r="AA7" s="10">
        <f t="shared" si="0"/>
        <v>-5268.02</v>
      </c>
      <c r="AB7" s="20"/>
    </row>
    <row r="8" spans="1:28" s="21" customFormat="1" ht="12.75" x14ac:dyDescent="0.2">
      <c r="A8" s="7">
        <v>4</v>
      </c>
      <c r="B8" s="12" t="s">
        <v>72</v>
      </c>
      <c r="C8" s="13">
        <v>44938</v>
      </c>
      <c r="D8" s="13">
        <v>45657</v>
      </c>
      <c r="E8" s="6" t="s">
        <v>73</v>
      </c>
      <c r="F8" s="6" t="s">
        <v>74</v>
      </c>
      <c r="G8" s="10">
        <v>87320</v>
      </c>
      <c r="H8" s="10"/>
      <c r="I8" s="10"/>
      <c r="J8" s="10"/>
      <c r="K8" s="10"/>
      <c r="L8" s="10">
        <v>87320</v>
      </c>
      <c r="M8" s="10"/>
      <c r="N8" s="10"/>
      <c r="O8" s="10"/>
      <c r="P8" s="10"/>
      <c r="Q8" s="10"/>
      <c r="R8" s="10"/>
      <c r="S8" s="10"/>
      <c r="T8" s="10"/>
      <c r="U8" s="10">
        <v>87320</v>
      </c>
      <c r="V8" s="10"/>
      <c r="W8" s="10"/>
      <c r="X8" s="10"/>
      <c r="Y8" s="10"/>
      <c r="Z8" s="10">
        <f t="shared" si="1"/>
        <v>87320</v>
      </c>
      <c r="AA8" s="10">
        <f t="shared" si="0"/>
        <v>0</v>
      </c>
      <c r="AB8" s="20"/>
    </row>
    <row r="9" spans="1:28" s="21" customFormat="1" ht="12.75" x14ac:dyDescent="0.2">
      <c r="A9" s="7">
        <v>5</v>
      </c>
      <c r="B9" s="12" t="s">
        <v>83</v>
      </c>
      <c r="C9" s="13">
        <v>45306</v>
      </c>
      <c r="D9" s="13">
        <v>45657</v>
      </c>
      <c r="E9" s="6" t="s">
        <v>84</v>
      </c>
      <c r="F9" s="6" t="s">
        <v>85</v>
      </c>
      <c r="G9" s="10">
        <v>4262</v>
      </c>
      <c r="H9" s="10"/>
      <c r="I9" s="10"/>
      <c r="J9" s="10"/>
      <c r="K9" s="10"/>
      <c r="L9" s="10">
        <v>4262</v>
      </c>
      <c r="M9" s="10"/>
      <c r="N9" s="10"/>
      <c r="O9" s="10"/>
      <c r="P9" s="10"/>
      <c r="Q9" s="10"/>
      <c r="R9" s="10"/>
      <c r="S9" s="10"/>
      <c r="T9" s="10"/>
      <c r="U9" s="10">
        <v>4262</v>
      </c>
      <c r="V9" s="10"/>
      <c r="W9" s="10"/>
      <c r="X9" s="10"/>
      <c r="Y9" s="10"/>
      <c r="Z9" s="10">
        <f t="shared" si="1"/>
        <v>4262</v>
      </c>
      <c r="AA9" s="10">
        <f t="shared" si="0"/>
        <v>0</v>
      </c>
      <c r="AB9" s="20"/>
    </row>
    <row r="10" spans="1:28" s="21" customFormat="1" ht="12.75" x14ac:dyDescent="0.2">
      <c r="A10" s="7">
        <v>6</v>
      </c>
      <c r="B10" s="12" t="s">
        <v>110</v>
      </c>
      <c r="C10" s="13">
        <v>45289</v>
      </c>
      <c r="D10" s="14"/>
      <c r="E10" s="6" t="s">
        <v>111</v>
      </c>
      <c r="F10" s="15" t="s">
        <v>112</v>
      </c>
      <c r="G10" s="16"/>
      <c r="H10" s="10"/>
      <c r="I10" s="10"/>
      <c r="J10" s="10"/>
      <c r="K10" s="10"/>
      <c r="L10" s="10">
        <v>440</v>
      </c>
      <c r="M10" s="10"/>
      <c r="N10" s="10"/>
      <c r="O10" s="10"/>
      <c r="P10" s="10"/>
      <c r="Q10" s="10"/>
      <c r="R10" s="10"/>
      <c r="S10" s="10"/>
      <c r="T10" s="10"/>
      <c r="U10" s="10">
        <v>440</v>
      </c>
      <c r="V10" s="10"/>
      <c r="W10" s="10"/>
      <c r="X10" s="10"/>
      <c r="Y10" s="10"/>
      <c r="Z10" s="10">
        <f t="shared" ref="Z10:Z23" si="2">SUM(Q10:Y10)</f>
        <v>440</v>
      </c>
      <c r="AA10" s="10">
        <f t="shared" si="0"/>
        <v>-440</v>
      </c>
      <c r="AB10" s="20"/>
    </row>
    <row r="11" spans="1:28" s="21" customFormat="1" ht="12.75" x14ac:dyDescent="0.2">
      <c r="A11" s="7">
        <v>7</v>
      </c>
      <c r="B11" s="12" t="s">
        <v>139</v>
      </c>
      <c r="C11" s="13">
        <v>45314</v>
      </c>
      <c r="D11" s="13">
        <v>45657</v>
      </c>
      <c r="E11" s="6" t="s">
        <v>140</v>
      </c>
      <c r="F11" s="17" t="s">
        <v>141</v>
      </c>
      <c r="G11" s="10">
        <v>289.20999999999998</v>
      </c>
      <c r="H11" s="10"/>
      <c r="I11" s="10"/>
      <c r="J11" s="10"/>
      <c r="K11" s="10">
        <v>289.20999999999998</v>
      </c>
      <c r="L11" s="10"/>
      <c r="M11" s="10"/>
      <c r="N11" s="10"/>
      <c r="O11" s="10"/>
      <c r="P11" s="10"/>
      <c r="Q11" s="10"/>
      <c r="R11" s="10"/>
      <c r="S11" s="10"/>
      <c r="T11" s="10">
        <v>289.20999999999998</v>
      </c>
      <c r="U11" s="10"/>
      <c r="V11" s="10"/>
      <c r="W11" s="10"/>
      <c r="X11" s="10"/>
      <c r="Y11" s="10"/>
      <c r="Z11" s="10">
        <f t="shared" si="2"/>
        <v>289.20999999999998</v>
      </c>
      <c r="AA11" s="10">
        <f t="shared" si="0"/>
        <v>0</v>
      </c>
      <c r="AB11" s="20"/>
    </row>
    <row r="12" spans="1:28" s="21" customFormat="1" ht="12.75" x14ac:dyDescent="0.2">
      <c r="A12" s="7">
        <v>8</v>
      </c>
      <c r="B12" s="12" t="s">
        <v>157</v>
      </c>
      <c r="C12" s="13">
        <v>45258</v>
      </c>
      <c r="D12" s="13">
        <v>45291</v>
      </c>
      <c r="E12" s="6" t="s">
        <v>158</v>
      </c>
      <c r="F12" s="17" t="s">
        <v>159</v>
      </c>
      <c r="G12" s="10">
        <v>5931.48</v>
      </c>
      <c r="H12" s="10">
        <v>5931.48</v>
      </c>
      <c r="I12" s="10"/>
      <c r="J12" s="10"/>
      <c r="K12" s="10"/>
      <c r="L12" s="10"/>
      <c r="M12" s="10"/>
      <c r="N12" s="10"/>
      <c r="O12" s="10"/>
      <c r="P12" s="10"/>
      <c r="Q12" s="10">
        <v>5931.48</v>
      </c>
      <c r="R12" s="10"/>
      <c r="S12" s="10"/>
      <c r="T12" s="10"/>
      <c r="U12" s="10"/>
      <c r="V12" s="10"/>
      <c r="W12" s="10"/>
      <c r="X12" s="10"/>
      <c r="Y12" s="10"/>
      <c r="Z12" s="10">
        <f t="shared" si="2"/>
        <v>5931.48</v>
      </c>
      <c r="AA12" s="10">
        <f t="shared" si="0"/>
        <v>0</v>
      </c>
      <c r="AB12" s="20"/>
    </row>
    <row r="13" spans="1:28" s="21" customFormat="1" ht="12.75" x14ac:dyDescent="0.2">
      <c r="A13" s="7">
        <v>9</v>
      </c>
      <c r="B13" s="12" t="s">
        <v>179</v>
      </c>
      <c r="C13" s="13">
        <v>45323</v>
      </c>
      <c r="D13" s="13">
        <v>45657</v>
      </c>
      <c r="E13" s="6" t="s">
        <v>180</v>
      </c>
      <c r="F13" s="17" t="s">
        <v>181</v>
      </c>
      <c r="G13" s="10">
        <v>600</v>
      </c>
      <c r="H13" s="10"/>
      <c r="I13" s="10">
        <v>600</v>
      </c>
      <c r="J13" s="10"/>
      <c r="K13" s="10"/>
      <c r="L13" s="10"/>
      <c r="M13" s="10"/>
      <c r="N13" s="10"/>
      <c r="O13" s="10"/>
      <c r="P13" s="10"/>
      <c r="Q13" s="10"/>
      <c r="R13" s="10">
        <v>600</v>
      </c>
      <c r="S13" s="10"/>
      <c r="T13" s="10"/>
      <c r="U13" s="10"/>
      <c r="V13" s="10"/>
      <c r="W13" s="10"/>
      <c r="X13" s="10"/>
      <c r="Y13" s="10"/>
      <c r="Z13" s="10">
        <f t="shared" si="2"/>
        <v>600</v>
      </c>
      <c r="AA13" s="10">
        <f t="shared" si="0"/>
        <v>0</v>
      </c>
      <c r="AB13" s="20"/>
    </row>
    <row r="14" spans="1:28" s="21" customFormat="1" ht="12.75" x14ac:dyDescent="0.2">
      <c r="A14" s="7">
        <v>10</v>
      </c>
      <c r="B14" s="12" t="s">
        <v>182</v>
      </c>
      <c r="C14" s="13">
        <v>45324</v>
      </c>
      <c r="D14" s="13">
        <v>45657</v>
      </c>
      <c r="E14" s="6" t="s">
        <v>183</v>
      </c>
      <c r="F14" s="17" t="s">
        <v>184</v>
      </c>
      <c r="G14" s="10">
        <v>2000</v>
      </c>
      <c r="H14" s="10">
        <v>2000</v>
      </c>
      <c r="I14" s="10"/>
      <c r="J14" s="10"/>
      <c r="K14" s="10"/>
      <c r="L14" s="10"/>
      <c r="M14" s="10"/>
      <c r="N14" s="10"/>
      <c r="O14" s="10"/>
      <c r="P14" s="10"/>
      <c r="Q14" s="10">
        <v>2000</v>
      </c>
      <c r="R14" s="10"/>
      <c r="S14" s="10"/>
      <c r="T14" s="10"/>
      <c r="U14" s="10"/>
      <c r="V14" s="10"/>
      <c r="W14" s="10"/>
      <c r="X14" s="10"/>
      <c r="Y14" s="10"/>
      <c r="Z14" s="10">
        <f t="shared" si="2"/>
        <v>2000</v>
      </c>
      <c r="AA14" s="10">
        <f t="shared" si="0"/>
        <v>0</v>
      </c>
      <c r="AB14" s="20"/>
    </row>
    <row r="15" spans="1:28" s="21" customFormat="1" ht="15" customHeight="1" x14ac:dyDescent="0.2">
      <c r="A15" s="7">
        <v>11</v>
      </c>
      <c r="B15" s="12" t="s">
        <v>203</v>
      </c>
      <c r="C15" s="13">
        <v>44964</v>
      </c>
      <c r="D15" s="13">
        <v>45657</v>
      </c>
      <c r="E15" s="6" t="s">
        <v>204</v>
      </c>
      <c r="F15" s="17" t="s">
        <v>205</v>
      </c>
      <c r="G15" s="10">
        <v>38500</v>
      </c>
      <c r="H15" s="10">
        <f>19250+19250</f>
        <v>38500</v>
      </c>
      <c r="I15" s="10"/>
      <c r="J15" s="10"/>
      <c r="K15" s="10"/>
      <c r="L15" s="10"/>
      <c r="M15" s="10"/>
      <c r="N15" s="10"/>
      <c r="O15" s="10"/>
      <c r="P15" s="10"/>
      <c r="Q15" s="10">
        <f>19250+19250</f>
        <v>38500</v>
      </c>
      <c r="R15" s="10"/>
      <c r="S15" s="10"/>
      <c r="T15" s="10"/>
      <c r="U15" s="10"/>
      <c r="V15" s="10"/>
      <c r="W15" s="10"/>
      <c r="X15" s="10"/>
      <c r="Y15" s="10"/>
      <c r="Z15" s="10">
        <f t="shared" si="2"/>
        <v>38500</v>
      </c>
      <c r="AA15" s="10">
        <f t="shared" si="0"/>
        <v>0</v>
      </c>
      <c r="AB15" s="20"/>
    </row>
    <row r="16" spans="1:28" s="21" customFormat="1" ht="12.75" x14ac:dyDescent="0.2">
      <c r="A16" s="7">
        <v>12</v>
      </c>
      <c r="B16" s="12" t="s">
        <v>206</v>
      </c>
      <c r="C16" s="13">
        <v>45330</v>
      </c>
      <c r="D16" s="13">
        <v>45657</v>
      </c>
      <c r="E16" s="6" t="s">
        <v>140</v>
      </c>
      <c r="F16" s="17" t="s">
        <v>207</v>
      </c>
      <c r="G16" s="10">
        <v>2266</v>
      </c>
      <c r="H16" s="10"/>
      <c r="I16" s="10">
        <v>2266</v>
      </c>
      <c r="J16" s="10"/>
      <c r="K16" s="10"/>
      <c r="L16" s="10"/>
      <c r="M16" s="10"/>
      <c r="N16" s="10"/>
      <c r="O16" s="10"/>
      <c r="P16" s="10"/>
      <c r="Q16" s="10"/>
      <c r="R16" s="10">
        <v>2266</v>
      </c>
      <c r="S16" s="10"/>
      <c r="T16" s="10"/>
      <c r="U16" s="10"/>
      <c r="V16" s="10"/>
      <c r="W16" s="10"/>
      <c r="X16" s="10"/>
      <c r="Y16" s="10"/>
      <c r="Z16" s="10">
        <f t="shared" si="2"/>
        <v>2266</v>
      </c>
      <c r="AA16" s="10">
        <f t="shared" si="0"/>
        <v>0</v>
      </c>
      <c r="AB16" s="20"/>
    </row>
    <row r="17" spans="1:28" s="21" customFormat="1" ht="25.5" x14ac:dyDescent="0.2">
      <c r="A17" s="7">
        <v>13</v>
      </c>
      <c r="B17" s="12" t="s">
        <v>210</v>
      </c>
      <c r="C17" s="13">
        <v>45334</v>
      </c>
      <c r="D17" s="13">
        <v>45657</v>
      </c>
      <c r="E17" s="6" t="s">
        <v>211</v>
      </c>
      <c r="F17" s="17" t="s">
        <v>212</v>
      </c>
      <c r="G17" s="10">
        <v>49980</v>
      </c>
      <c r="H17" s="10"/>
      <c r="I17" s="10"/>
      <c r="J17" s="10"/>
      <c r="K17" s="10"/>
      <c r="L17" s="10">
        <v>49980</v>
      </c>
      <c r="M17" s="10"/>
      <c r="N17" s="10"/>
      <c r="O17" s="10"/>
      <c r="P17" s="10"/>
      <c r="Q17" s="10"/>
      <c r="R17" s="10"/>
      <c r="S17" s="10"/>
      <c r="T17" s="10"/>
      <c r="U17" s="10">
        <v>49980</v>
      </c>
      <c r="V17" s="10"/>
      <c r="W17" s="10"/>
      <c r="X17" s="10"/>
      <c r="Y17" s="10"/>
      <c r="Z17" s="10">
        <f t="shared" si="2"/>
        <v>49980</v>
      </c>
      <c r="AA17" s="10">
        <f t="shared" si="0"/>
        <v>0</v>
      </c>
      <c r="AB17" s="20"/>
    </row>
    <row r="18" spans="1:28" s="21" customFormat="1" ht="12.75" x14ac:dyDescent="0.2">
      <c r="A18" s="7">
        <v>14</v>
      </c>
      <c r="B18" s="12" t="s">
        <v>218</v>
      </c>
      <c r="C18" s="13">
        <v>45335</v>
      </c>
      <c r="D18" s="13">
        <v>45657</v>
      </c>
      <c r="E18" s="6" t="s">
        <v>219</v>
      </c>
      <c r="F18" s="17" t="s">
        <v>220</v>
      </c>
      <c r="G18" s="10">
        <v>4500</v>
      </c>
      <c r="H18" s="10"/>
      <c r="I18" s="10"/>
      <c r="J18" s="10"/>
      <c r="K18" s="10">
        <v>4500</v>
      </c>
      <c r="L18" s="10"/>
      <c r="M18" s="10"/>
      <c r="N18" s="10"/>
      <c r="O18" s="10"/>
      <c r="P18" s="10"/>
      <c r="Q18" s="10"/>
      <c r="R18" s="10"/>
      <c r="S18" s="10"/>
      <c r="T18" s="10">
        <v>4500</v>
      </c>
      <c r="U18" s="10"/>
      <c r="V18" s="10"/>
      <c r="W18" s="10"/>
      <c r="X18" s="10"/>
      <c r="Y18" s="10"/>
      <c r="Z18" s="10">
        <f t="shared" si="2"/>
        <v>4500</v>
      </c>
      <c r="AA18" s="10">
        <f t="shared" si="0"/>
        <v>0</v>
      </c>
      <c r="AB18" s="20"/>
    </row>
    <row r="19" spans="1:28" s="21" customFormat="1" ht="12.75" x14ac:dyDescent="0.2">
      <c r="A19" s="7">
        <v>15</v>
      </c>
      <c r="B19" s="12" t="s">
        <v>224</v>
      </c>
      <c r="C19" s="13">
        <v>45285</v>
      </c>
      <c r="D19" s="13">
        <v>45657</v>
      </c>
      <c r="E19" s="6" t="s">
        <v>225</v>
      </c>
      <c r="F19" s="17" t="s">
        <v>226</v>
      </c>
      <c r="G19" s="10">
        <v>87320</v>
      </c>
      <c r="H19" s="10"/>
      <c r="I19" s="10"/>
      <c r="J19" s="10"/>
      <c r="K19" s="10"/>
      <c r="L19" s="10"/>
      <c r="M19" s="10"/>
      <c r="N19" s="10"/>
      <c r="O19" s="10"/>
      <c r="P19" s="10">
        <v>87320</v>
      </c>
      <c r="Q19" s="10"/>
      <c r="R19" s="10"/>
      <c r="S19" s="10"/>
      <c r="T19" s="10"/>
      <c r="U19" s="10"/>
      <c r="V19" s="10"/>
      <c r="W19" s="10"/>
      <c r="X19" s="10"/>
      <c r="Y19" s="10">
        <v>87320</v>
      </c>
      <c r="Z19" s="10">
        <f t="shared" si="2"/>
        <v>87320</v>
      </c>
      <c r="AA19" s="10">
        <f t="shared" si="0"/>
        <v>0</v>
      </c>
      <c r="AB19" s="20"/>
    </row>
    <row r="20" spans="1:28" s="21" customFormat="1" ht="12.75" x14ac:dyDescent="0.2">
      <c r="A20" s="7">
        <v>16</v>
      </c>
      <c r="B20" s="12" t="s">
        <v>230</v>
      </c>
      <c r="C20" s="13">
        <v>45266</v>
      </c>
      <c r="D20" s="13">
        <v>45291</v>
      </c>
      <c r="E20" s="6" t="s">
        <v>231</v>
      </c>
      <c r="F20" s="17" t="s">
        <v>232</v>
      </c>
      <c r="G20" s="10">
        <v>40140</v>
      </c>
      <c r="H20" s="10"/>
      <c r="I20" s="10"/>
      <c r="J20" s="10"/>
      <c r="K20" s="10"/>
      <c r="L20" s="10"/>
      <c r="M20" s="10"/>
      <c r="N20" s="10"/>
      <c r="O20" s="10"/>
      <c r="P20" s="10">
        <v>24084</v>
      </c>
      <c r="Q20" s="10"/>
      <c r="R20" s="10"/>
      <c r="S20" s="10"/>
      <c r="T20" s="10"/>
      <c r="U20" s="10"/>
      <c r="V20" s="10"/>
      <c r="W20" s="10"/>
      <c r="X20" s="10"/>
      <c r="Y20" s="10">
        <v>24084</v>
      </c>
      <c r="Z20" s="10">
        <f t="shared" si="2"/>
        <v>24084</v>
      </c>
      <c r="AA20" s="10">
        <f t="shared" si="0"/>
        <v>16056</v>
      </c>
      <c r="AB20" s="20"/>
    </row>
    <row r="21" spans="1:28" s="21" customFormat="1" ht="25.5" x14ac:dyDescent="0.2">
      <c r="A21" s="7">
        <v>17</v>
      </c>
      <c r="B21" s="12" t="s">
        <v>233</v>
      </c>
      <c r="C21" s="13">
        <v>45187</v>
      </c>
      <c r="D21" s="13">
        <v>45291</v>
      </c>
      <c r="E21" s="6" t="s">
        <v>524</v>
      </c>
      <c r="F21" s="17" t="s">
        <v>234</v>
      </c>
      <c r="G21" s="10">
        <v>748200</v>
      </c>
      <c r="H21" s="10"/>
      <c r="I21" s="10"/>
      <c r="J21" s="10"/>
      <c r="K21" s="10"/>
      <c r="L21" s="10"/>
      <c r="M21" s="10"/>
      <c r="N21" s="10"/>
      <c r="O21" s="10"/>
      <c r="P21" s="10">
        <v>405000</v>
      </c>
      <c r="Q21" s="10"/>
      <c r="R21" s="10"/>
      <c r="S21" s="10"/>
      <c r="T21" s="10"/>
      <c r="U21" s="10"/>
      <c r="V21" s="10"/>
      <c r="W21" s="10"/>
      <c r="X21" s="10"/>
      <c r="Y21" s="10">
        <v>405000</v>
      </c>
      <c r="Z21" s="10">
        <f t="shared" si="2"/>
        <v>405000</v>
      </c>
      <c r="AA21" s="10">
        <f t="shared" si="0"/>
        <v>343200</v>
      </c>
      <c r="AB21" s="20"/>
    </row>
    <row r="22" spans="1:28" s="21" customFormat="1" ht="12.75" x14ac:dyDescent="0.2">
      <c r="A22" s="7">
        <v>18</v>
      </c>
      <c r="B22" s="22" t="s">
        <v>235</v>
      </c>
      <c r="C22" s="23">
        <v>45216</v>
      </c>
      <c r="D22" s="14"/>
      <c r="E22" s="6" t="s">
        <v>231</v>
      </c>
      <c r="F22" s="17" t="s">
        <v>236</v>
      </c>
      <c r="G22" s="16"/>
      <c r="H22" s="10"/>
      <c r="I22" s="10"/>
      <c r="J22" s="10"/>
      <c r="K22" s="10"/>
      <c r="L22" s="10"/>
      <c r="M22" s="10"/>
      <c r="N22" s="10"/>
      <c r="O22" s="10"/>
      <c r="P22" s="10">
        <v>8131.2</v>
      </c>
      <c r="Q22" s="10"/>
      <c r="R22" s="10"/>
      <c r="S22" s="10"/>
      <c r="T22" s="10"/>
      <c r="U22" s="10"/>
      <c r="V22" s="10"/>
      <c r="W22" s="10"/>
      <c r="X22" s="10"/>
      <c r="Y22" s="10">
        <v>8131.2</v>
      </c>
      <c r="Z22" s="10">
        <f t="shared" si="2"/>
        <v>8131.2</v>
      </c>
      <c r="AA22" s="10">
        <f t="shared" si="0"/>
        <v>-8131.2</v>
      </c>
      <c r="AB22" s="20"/>
    </row>
    <row r="23" spans="1:28" s="21" customFormat="1" ht="12.75" x14ac:dyDescent="0.2">
      <c r="A23" s="7">
        <v>19</v>
      </c>
      <c r="B23" s="22" t="s">
        <v>237</v>
      </c>
      <c r="C23" s="23">
        <v>45141</v>
      </c>
      <c r="D23" s="14"/>
      <c r="E23" s="6" t="s">
        <v>238</v>
      </c>
      <c r="F23" s="17" t="s">
        <v>239</v>
      </c>
      <c r="G23" s="16"/>
      <c r="H23" s="10"/>
      <c r="I23" s="10"/>
      <c r="J23" s="10"/>
      <c r="K23" s="10"/>
      <c r="L23" s="10"/>
      <c r="M23" s="10"/>
      <c r="N23" s="10"/>
      <c r="O23" s="10"/>
      <c r="P23" s="10">
        <v>464703.13</v>
      </c>
      <c r="Q23" s="10"/>
      <c r="R23" s="10"/>
      <c r="S23" s="10"/>
      <c r="T23" s="10"/>
      <c r="U23" s="10"/>
      <c r="V23" s="10"/>
      <c r="W23" s="10"/>
      <c r="X23" s="10"/>
      <c r="Y23" s="10">
        <v>464703.13</v>
      </c>
      <c r="Z23" s="10">
        <f t="shared" si="2"/>
        <v>464703.13</v>
      </c>
      <c r="AA23" s="10">
        <f t="shared" si="0"/>
        <v>-464703.13</v>
      </c>
      <c r="AB23" s="20"/>
    </row>
    <row r="24" spans="1:28" s="21" customFormat="1" ht="24.75" customHeight="1" x14ac:dyDescent="0.2">
      <c r="A24" s="7">
        <v>20</v>
      </c>
      <c r="B24" s="24" t="s">
        <v>240</v>
      </c>
      <c r="C24" s="25">
        <v>45061</v>
      </c>
      <c r="D24" s="25">
        <v>45291</v>
      </c>
      <c r="E24" s="17" t="s">
        <v>525</v>
      </c>
      <c r="F24" s="17" t="s">
        <v>239</v>
      </c>
      <c r="G24" s="26"/>
      <c r="H24" s="10"/>
      <c r="I24" s="10"/>
      <c r="J24" s="10"/>
      <c r="K24" s="10"/>
      <c r="L24" s="10"/>
      <c r="M24" s="10"/>
      <c r="N24" s="10"/>
      <c r="O24" s="10"/>
      <c r="P24" s="10">
        <f>489315+2519.5+326210</f>
        <v>818044.5</v>
      </c>
      <c r="Q24" s="10"/>
      <c r="R24" s="10"/>
      <c r="S24" s="10"/>
      <c r="T24" s="10"/>
      <c r="U24" s="10"/>
      <c r="V24" s="10"/>
      <c r="W24" s="10"/>
      <c r="X24" s="10"/>
      <c r="Y24" s="10">
        <f>489315+2519.5+326210</f>
        <v>818044.5</v>
      </c>
      <c r="Z24" s="10">
        <f t="shared" ref="Z24" si="3">SUM(Q24:Y24)</f>
        <v>818044.5</v>
      </c>
      <c r="AA24" s="10">
        <f t="shared" si="0"/>
        <v>-818044.5</v>
      </c>
      <c r="AB24" s="20"/>
    </row>
    <row r="25" spans="1:28" s="21" customFormat="1" ht="27" customHeight="1" x14ac:dyDescent="0.2">
      <c r="A25" s="7">
        <v>21</v>
      </c>
      <c r="B25" s="24" t="s">
        <v>241</v>
      </c>
      <c r="C25" s="25">
        <v>45239</v>
      </c>
      <c r="D25" s="25">
        <v>45291</v>
      </c>
      <c r="E25" s="17" t="s">
        <v>526</v>
      </c>
      <c r="F25" s="17" t="s">
        <v>239</v>
      </c>
      <c r="G25" s="27">
        <v>25040</v>
      </c>
      <c r="H25" s="10"/>
      <c r="I25" s="10"/>
      <c r="J25" s="10"/>
      <c r="K25" s="10"/>
      <c r="L25" s="10"/>
      <c r="M25" s="10"/>
      <c r="N25" s="10"/>
      <c r="O25" s="10"/>
      <c r="P25" s="10">
        <v>25040</v>
      </c>
      <c r="Q25" s="10"/>
      <c r="R25" s="10"/>
      <c r="S25" s="10"/>
      <c r="T25" s="10"/>
      <c r="U25" s="10"/>
      <c r="V25" s="10"/>
      <c r="W25" s="10"/>
      <c r="X25" s="10"/>
      <c r="Y25" s="10">
        <v>25040</v>
      </c>
      <c r="Z25" s="10">
        <f t="shared" ref="Z25" si="4">SUM(Q25:Y25)</f>
        <v>25040</v>
      </c>
      <c r="AA25" s="10">
        <f t="shared" si="0"/>
        <v>0</v>
      </c>
      <c r="AB25" s="20"/>
    </row>
    <row r="26" spans="1:28" s="21" customFormat="1" ht="21.75" customHeight="1" x14ac:dyDescent="0.2">
      <c r="A26" s="7">
        <v>22</v>
      </c>
      <c r="B26" s="22" t="s">
        <v>242</v>
      </c>
      <c r="C26" s="23">
        <v>45251</v>
      </c>
      <c r="D26" s="28"/>
      <c r="E26" s="17" t="s">
        <v>527</v>
      </c>
      <c r="F26" s="17" t="s">
        <v>239</v>
      </c>
      <c r="G26" s="26"/>
      <c r="H26" s="10"/>
      <c r="I26" s="10"/>
      <c r="J26" s="10"/>
      <c r="K26" s="10"/>
      <c r="L26" s="10"/>
      <c r="M26" s="10"/>
      <c r="N26" s="10"/>
      <c r="O26" s="10"/>
      <c r="P26" s="10">
        <f>3322.72+11420+3660.28</f>
        <v>18403</v>
      </c>
      <c r="Q26" s="10"/>
      <c r="R26" s="10"/>
      <c r="S26" s="10"/>
      <c r="T26" s="10"/>
      <c r="U26" s="10"/>
      <c r="V26" s="10"/>
      <c r="W26" s="10"/>
      <c r="X26" s="10"/>
      <c r="Y26" s="10">
        <f>3322.72+11420+3660.28</f>
        <v>18403</v>
      </c>
      <c r="Z26" s="10">
        <f t="shared" ref="Z26" si="5">SUM(Q26:Y26)</f>
        <v>18403</v>
      </c>
      <c r="AA26" s="10">
        <f t="shared" si="0"/>
        <v>-18403</v>
      </c>
      <c r="AB26" s="20"/>
    </row>
    <row r="27" spans="1:28" s="21" customFormat="1" ht="36.75" customHeight="1" x14ac:dyDescent="0.2">
      <c r="A27" s="7">
        <v>23</v>
      </c>
      <c r="B27" s="24" t="s">
        <v>243</v>
      </c>
      <c r="C27" s="25">
        <v>44977</v>
      </c>
      <c r="D27" s="25">
        <v>45291</v>
      </c>
      <c r="E27" s="17" t="s">
        <v>528</v>
      </c>
      <c r="F27" s="17" t="s">
        <v>239</v>
      </c>
      <c r="G27" s="26"/>
      <c r="H27" s="10"/>
      <c r="I27" s="10"/>
      <c r="J27" s="10"/>
      <c r="K27" s="10"/>
      <c r="L27" s="10"/>
      <c r="M27" s="10"/>
      <c r="N27" s="10"/>
      <c r="O27" s="10"/>
      <c r="P27" s="10">
        <f>153.05+1071.35+2529+489.51+49.27</f>
        <v>4292.18</v>
      </c>
      <c r="Q27" s="10"/>
      <c r="R27" s="10"/>
      <c r="S27" s="10"/>
      <c r="T27" s="10"/>
      <c r="U27" s="10"/>
      <c r="V27" s="10"/>
      <c r="W27" s="10"/>
      <c r="X27" s="10"/>
      <c r="Y27" s="10">
        <f>153.05+1071.35+2529+489.51+49.27</f>
        <v>4292.18</v>
      </c>
      <c r="Z27" s="10">
        <f t="shared" ref="Z27" si="6">SUM(Q27:Y27)</f>
        <v>4292.18</v>
      </c>
      <c r="AA27" s="10">
        <f t="shared" si="0"/>
        <v>-4292.18</v>
      </c>
      <c r="AB27" s="20"/>
    </row>
    <row r="28" spans="1:28" s="21" customFormat="1" ht="26.25" customHeight="1" x14ac:dyDescent="0.2">
      <c r="A28" s="7">
        <v>24</v>
      </c>
      <c r="B28" s="24" t="s">
        <v>244</v>
      </c>
      <c r="C28" s="25">
        <v>44980</v>
      </c>
      <c r="D28" s="25">
        <v>45291</v>
      </c>
      <c r="E28" s="17" t="s">
        <v>529</v>
      </c>
      <c r="F28" s="17" t="s">
        <v>245</v>
      </c>
      <c r="G28" s="26"/>
      <c r="H28" s="10"/>
      <c r="I28" s="10"/>
      <c r="J28" s="10"/>
      <c r="K28" s="10"/>
      <c r="L28" s="10"/>
      <c r="M28" s="10"/>
      <c r="N28" s="10"/>
      <c r="O28" s="10"/>
      <c r="P28" s="10">
        <v>89721.88</v>
      </c>
      <c r="Q28" s="10"/>
      <c r="R28" s="10"/>
      <c r="S28" s="10"/>
      <c r="T28" s="10"/>
      <c r="U28" s="10"/>
      <c r="V28" s="10"/>
      <c r="W28" s="10"/>
      <c r="X28" s="10"/>
      <c r="Y28" s="10">
        <v>89721.88</v>
      </c>
      <c r="Z28" s="10">
        <f t="shared" ref="Z28" si="7">SUM(Q28:Y28)</f>
        <v>89721.88</v>
      </c>
      <c r="AA28" s="10">
        <f t="shared" si="0"/>
        <v>-89721.88</v>
      </c>
      <c r="AB28" s="20"/>
    </row>
    <row r="29" spans="1:28" s="21" customFormat="1" ht="39" customHeight="1" x14ac:dyDescent="0.2">
      <c r="A29" s="7">
        <v>25</v>
      </c>
      <c r="B29" s="24" t="s">
        <v>246</v>
      </c>
      <c r="C29" s="25">
        <v>44970</v>
      </c>
      <c r="D29" s="25">
        <v>45291</v>
      </c>
      <c r="E29" s="6" t="s">
        <v>530</v>
      </c>
      <c r="F29" s="17" t="s">
        <v>239</v>
      </c>
      <c r="G29" s="26"/>
      <c r="H29" s="10"/>
      <c r="I29" s="10"/>
      <c r="J29" s="10"/>
      <c r="K29" s="10"/>
      <c r="L29" s="10"/>
      <c r="M29" s="10"/>
      <c r="N29" s="10"/>
      <c r="O29" s="10"/>
      <c r="P29" s="10">
        <f>7357.5+28800+22982.4+8582.4</f>
        <v>67722.3</v>
      </c>
      <c r="Q29" s="10"/>
      <c r="R29" s="10"/>
      <c r="S29" s="10"/>
      <c r="T29" s="10"/>
      <c r="U29" s="10"/>
      <c r="V29" s="10"/>
      <c r="W29" s="10"/>
      <c r="X29" s="10"/>
      <c r="Y29" s="10">
        <v>67722.3</v>
      </c>
      <c r="Z29" s="10">
        <f t="shared" ref="Z29:Z32" si="8">SUM(Q29:Y29)</f>
        <v>67722.3</v>
      </c>
      <c r="AA29" s="10">
        <f t="shared" si="0"/>
        <v>-67722.3</v>
      </c>
      <c r="AB29" s="20"/>
    </row>
    <row r="30" spans="1:28" s="21" customFormat="1" ht="26.25" customHeight="1" x14ac:dyDescent="0.2">
      <c r="A30" s="7">
        <v>26</v>
      </c>
      <c r="B30" s="12" t="s">
        <v>251</v>
      </c>
      <c r="C30" s="13">
        <v>45226</v>
      </c>
      <c r="D30" s="13">
        <v>45291</v>
      </c>
      <c r="E30" s="17" t="s">
        <v>531</v>
      </c>
      <c r="F30" s="17" t="s">
        <v>239</v>
      </c>
      <c r="G30" s="16"/>
      <c r="H30" s="10"/>
      <c r="I30" s="10"/>
      <c r="J30" s="10"/>
      <c r="K30" s="10"/>
      <c r="L30" s="10"/>
      <c r="M30" s="10"/>
      <c r="N30" s="10"/>
      <c r="O30" s="10"/>
      <c r="P30" s="10">
        <v>1891.44</v>
      </c>
      <c r="Q30" s="10"/>
      <c r="R30" s="10"/>
      <c r="S30" s="10"/>
      <c r="T30" s="10"/>
      <c r="U30" s="10"/>
      <c r="V30" s="10"/>
      <c r="W30" s="10"/>
      <c r="X30" s="10"/>
      <c r="Y30" s="10">
        <v>1891.44</v>
      </c>
      <c r="Z30" s="10">
        <f t="shared" si="8"/>
        <v>1891.44</v>
      </c>
      <c r="AA30" s="10">
        <f t="shared" si="0"/>
        <v>-1891.44</v>
      </c>
      <c r="AB30" s="20"/>
    </row>
    <row r="31" spans="1:28" s="21" customFormat="1" ht="17.25" customHeight="1" x14ac:dyDescent="0.2">
      <c r="A31" s="7">
        <v>27</v>
      </c>
      <c r="B31" s="12" t="s">
        <v>269</v>
      </c>
      <c r="C31" s="13">
        <v>45309</v>
      </c>
      <c r="D31" s="13">
        <v>45657</v>
      </c>
      <c r="E31" s="17" t="s">
        <v>270</v>
      </c>
      <c r="F31" s="17" t="s">
        <v>112</v>
      </c>
      <c r="G31" s="10">
        <v>3198</v>
      </c>
      <c r="H31" s="10">
        <v>3198</v>
      </c>
      <c r="I31" s="10"/>
      <c r="J31" s="10"/>
      <c r="K31" s="10"/>
      <c r="L31" s="10"/>
      <c r="M31" s="10"/>
      <c r="N31" s="10"/>
      <c r="O31" s="10"/>
      <c r="P31" s="10"/>
      <c r="Q31" s="10">
        <v>3198</v>
      </c>
      <c r="R31" s="10"/>
      <c r="S31" s="10"/>
      <c r="T31" s="10"/>
      <c r="U31" s="10"/>
      <c r="V31" s="10"/>
      <c r="W31" s="10"/>
      <c r="X31" s="10"/>
      <c r="Y31" s="10"/>
      <c r="Z31" s="10">
        <f t="shared" si="8"/>
        <v>3198</v>
      </c>
      <c r="AA31" s="10">
        <f t="shared" si="0"/>
        <v>0</v>
      </c>
      <c r="AB31" s="20"/>
    </row>
    <row r="32" spans="1:28" s="21" customFormat="1" ht="17.25" customHeight="1" x14ac:dyDescent="0.2">
      <c r="A32" s="7">
        <v>28</v>
      </c>
      <c r="B32" s="12" t="s">
        <v>275</v>
      </c>
      <c r="C32" s="13">
        <v>45341</v>
      </c>
      <c r="D32" s="13">
        <v>45657</v>
      </c>
      <c r="E32" s="17" t="s">
        <v>140</v>
      </c>
      <c r="F32" s="17" t="s">
        <v>276</v>
      </c>
      <c r="G32" s="10">
        <v>723.2</v>
      </c>
      <c r="H32" s="10"/>
      <c r="I32" s="10"/>
      <c r="J32" s="10"/>
      <c r="K32" s="10">
        <v>723.2</v>
      </c>
      <c r="L32" s="10"/>
      <c r="M32" s="10"/>
      <c r="N32" s="10"/>
      <c r="O32" s="10"/>
      <c r="P32" s="10"/>
      <c r="Q32" s="10"/>
      <c r="R32" s="10"/>
      <c r="S32" s="10"/>
      <c r="T32" s="10">
        <v>723.2</v>
      </c>
      <c r="U32" s="10"/>
      <c r="V32" s="10"/>
      <c r="W32" s="10"/>
      <c r="X32" s="10"/>
      <c r="Y32" s="10"/>
      <c r="Z32" s="10">
        <f t="shared" si="8"/>
        <v>723.2</v>
      </c>
      <c r="AA32" s="10">
        <f t="shared" si="0"/>
        <v>0</v>
      </c>
      <c r="AB32" s="20"/>
    </row>
    <row r="33" spans="1:28" s="21" customFormat="1" ht="17.25" customHeight="1" x14ac:dyDescent="0.2">
      <c r="A33" s="7">
        <v>29</v>
      </c>
      <c r="B33" s="12" t="s">
        <v>286</v>
      </c>
      <c r="C33" s="13">
        <v>44971</v>
      </c>
      <c r="D33" s="13">
        <v>45291</v>
      </c>
      <c r="E33" s="17" t="s">
        <v>287</v>
      </c>
      <c r="F33" s="17" t="s">
        <v>288</v>
      </c>
      <c r="G33" s="16"/>
      <c r="H33" s="10"/>
      <c r="I33" s="10"/>
      <c r="J33" s="10"/>
      <c r="K33" s="10"/>
      <c r="L33" s="10"/>
      <c r="M33" s="10"/>
      <c r="N33" s="10"/>
      <c r="O33" s="10"/>
      <c r="P33" s="10">
        <f>16851.2+20651.2</f>
        <v>37502.400000000001</v>
      </c>
      <c r="Q33" s="10"/>
      <c r="R33" s="10"/>
      <c r="S33" s="10"/>
      <c r="T33" s="10"/>
      <c r="U33" s="10"/>
      <c r="V33" s="10"/>
      <c r="W33" s="10"/>
      <c r="X33" s="10"/>
      <c r="Y33" s="10">
        <f>16851.2+20651.2</f>
        <v>37502.400000000001</v>
      </c>
      <c r="Z33" s="10">
        <f t="shared" ref="Z33" si="9">SUM(Q33:Y33)</f>
        <v>37502.400000000001</v>
      </c>
      <c r="AA33" s="10">
        <f t="shared" si="0"/>
        <v>-37502.400000000001</v>
      </c>
      <c r="AB33" s="20"/>
    </row>
    <row r="34" spans="1:28" s="21" customFormat="1" ht="27" customHeight="1" x14ac:dyDescent="0.2">
      <c r="A34" s="7">
        <v>30</v>
      </c>
      <c r="B34" s="24" t="s">
        <v>410</v>
      </c>
      <c r="C34" s="25">
        <v>44965</v>
      </c>
      <c r="D34" s="13">
        <v>45291</v>
      </c>
      <c r="E34" s="17" t="s">
        <v>329</v>
      </c>
      <c r="F34" s="17" t="s">
        <v>326</v>
      </c>
      <c r="G34" s="16"/>
      <c r="H34" s="10"/>
      <c r="I34" s="10"/>
      <c r="J34" s="10"/>
      <c r="K34" s="10"/>
      <c r="L34" s="10"/>
      <c r="M34" s="10"/>
      <c r="N34" s="10"/>
      <c r="O34" s="10"/>
      <c r="P34" s="10">
        <v>172760</v>
      </c>
      <c r="Q34" s="10"/>
      <c r="R34" s="10"/>
      <c r="S34" s="10"/>
      <c r="T34" s="10"/>
      <c r="U34" s="10"/>
      <c r="V34" s="10"/>
      <c r="W34" s="10"/>
      <c r="X34" s="10"/>
      <c r="Y34" s="10">
        <v>172760</v>
      </c>
      <c r="Z34" s="10">
        <f t="shared" ref="Z34" si="10">SUM(Q34:Y34)</f>
        <v>172760</v>
      </c>
      <c r="AA34" s="10">
        <f t="shared" si="0"/>
        <v>-172760</v>
      </c>
      <c r="AB34" s="20"/>
    </row>
    <row r="35" spans="1:28" s="21" customFormat="1" ht="39" customHeight="1" x14ac:dyDescent="0.2">
      <c r="A35" s="7">
        <v>31</v>
      </c>
      <c r="B35" s="24" t="s">
        <v>327</v>
      </c>
      <c r="C35" s="25">
        <v>45285</v>
      </c>
      <c r="D35" s="13">
        <v>45657</v>
      </c>
      <c r="E35" s="17" t="s">
        <v>330</v>
      </c>
      <c r="F35" s="17" t="s">
        <v>328</v>
      </c>
      <c r="G35" s="10">
        <v>518094</v>
      </c>
      <c r="H35" s="10"/>
      <c r="I35" s="10"/>
      <c r="J35" s="10"/>
      <c r="K35" s="10"/>
      <c r="L35" s="10"/>
      <c r="M35" s="10"/>
      <c r="N35" s="10"/>
      <c r="O35" s="10"/>
      <c r="P35" s="10">
        <f>129523.5+388570.5</f>
        <v>518094</v>
      </c>
      <c r="Q35" s="10"/>
      <c r="R35" s="10"/>
      <c r="S35" s="10"/>
      <c r="T35" s="10"/>
      <c r="U35" s="10"/>
      <c r="V35" s="10"/>
      <c r="W35" s="10"/>
      <c r="X35" s="10"/>
      <c r="Y35" s="10">
        <f>129523.5+388570.5</f>
        <v>518094</v>
      </c>
      <c r="Z35" s="10">
        <f t="shared" ref="Z35" si="11">SUM(Q35:Y35)</f>
        <v>518094</v>
      </c>
      <c r="AA35" s="10">
        <f t="shared" si="0"/>
        <v>0</v>
      </c>
      <c r="AB35" s="20"/>
    </row>
    <row r="36" spans="1:28" s="21" customFormat="1" ht="26.25" customHeight="1" x14ac:dyDescent="0.2">
      <c r="A36" s="7">
        <v>32</v>
      </c>
      <c r="B36" s="24" t="s">
        <v>331</v>
      </c>
      <c r="C36" s="25">
        <v>44963</v>
      </c>
      <c r="D36" s="13">
        <v>45291</v>
      </c>
      <c r="E36" s="17" t="s">
        <v>335</v>
      </c>
      <c r="F36" s="17" t="s">
        <v>334</v>
      </c>
      <c r="G36" s="16"/>
      <c r="H36" s="10"/>
      <c r="I36" s="10"/>
      <c r="J36" s="10"/>
      <c r="K36" s="10"/>
      <c r="L36" s="10"/>
      <c r="M36" s="10"/>
      <c r="N36" s="10"/>
      <c r="O36" s="10"/>
      <c r="P36" s="10">
        <f>125417+111684.23</f>
        <v>237101.22999999998</v>
      </c>
      <c r="Q36" s="10"/>
      <c r="R36" s="10"/>
      <c r="S36" s="10"/>
      <c r="T36" s="10"/>
      <c r="U36" s="10"/>
      <c r="V36" s="10"/>
      <c r="W36" s="10"/>
      <c r="X36" s="10"/>
      <c r="Y36" s="10">
        <f>125417+111684.23</f>
        <v>237101.22999999998</v>
      </c>
      <c r="Z36" s="10">
        <f t="shared" ref="Z36" si="12">SUM(Q36:Y36)</f>
        <v>237101.22999999998</v>
      </c>
      <c r="AA36" s="10">
        <f t="shared" si="0"/>
        <v>-237101.22999999998</v>
      </c>
      <c r="AB36" s="20"/>
    </row>
    <row r="37" spans="1:28" s="21" customFormat="1" ht="36" customHeight="1" x14ac:dyDescent="0.2">
      <c r="A37" s="7">
        <v>33</v>
      </c>
      <c r="B37" s="24" t="s">
        <v>332</v>
      </c>
      <c r="C37" s="25">
        <v>44974</v>
      </c>
      <c r="D37" s="13">
        <v>45291</v>
      </c>
      <c r="E37" s="17" t="s">
        <v>336</v>
      </c>
      <c r="F37" s="17" t="s">
        <v>334</v>
      </c>
      <c r="G37" s="16"/>
      <c r="H37" s="10"/>
      <c r="I37" s="10"/>
      <c r="J37" s="10"/>
      <c r="K37" s="10"/>
      <c r="L37" s="10"/>
      <c r="M37" s="10"/>
      <c r="N37" s="10"/>
      <c r="O37" s="10"/>
      <c r="P37" s="10">
        <v>115138</v>
      </c>
      <c r="Q37" s="10"/>
      <c r="R37" s="10"/>
      <c r="S37" s="10"/>
      <c r="T37" s="10"/>
      <c r="U37" s="10"/>
      <c r="V37" s="10"/>
      <c r="W37" s="10"/>
      <c r="X37" s="10"/>
      <c r="Y37" s="10">
        <v>115138</v>
      </c>
      <c r="Z37" s="10">
        <f t="shared" ref="Z37:Z38" si="13">SUM(Q37:Y37)</f>
        <v>115138</v>
      </c>
      <c r="AA37" s="10">
        <f t="shared" si="0"/>
        <v>-115138</v>
      </c>
      <c r="AB37" s="20"/>
    </row>
    <row r="38" spans="1:28" s="21" customFormat="1" ht="22.5" customHeight="1" x14ac:dyDescent="0.2">
      <c r="A38" s="7">
        <v>34</v>
      </c>
      <c r="B38" s="24" t="s">
        <v>333</v>
      </c>
      <c r="C38" s="25">
        <v>44984</v>
      </c>
      <c r="D38" s="13">
        <v>45291</v>
      </c>
      <c r="E38" s="17" t="s">
        <v>338</v>
      </c>
      <c r="F38" s="17" t="s">
        <v>337</v>
      </c>
      <c r="G38" s="16"/>
      <c r="H38" s="10"/>
      <c r="I38" s="10"/>
      <c r="J38" s="10"/>
      <c r="K38" s="10"/>
      <c r="L38" s="10"/>
      <c r="M38" s="10"/>
      <c r="N38" s="10"/>
      <c r="O38" s="10"/>
      <c r="P38" s="10">
        <v>15566.36</v>
      </c>
      <c r="Q38" s="10"/>
      <c r="R38" s="10"/>
      <c r="S38" s="10"/>
      <c r="T38" s="10"/>
      <c r="U38" s="10"/>
      <c r="V38" s="10"/>
      <c r="W38" s="10"/>
      <c r="X38" s="10"/>
      <c r="Y38" s="10">
        <v>15566.36</v>
      </c>
      <c r="Z38" s="10">
        <f t="shared" si="13"/>
        <v>15566.36</v>
      </c>
      <c r="AA38" s="10">
        <f t="shared" si="0"/>
        <v>-15566.36</v>
      </c>
      <c r="AB38" s="20"/>
    </row>
    <row r="39" spans="1:28" s="21" customFormat="1" ht="34.5" customHeight="1" x14ac:dyDescent="0.2">
      <c r="A39" s="7">
        <v>35</v>
      </c>
      <c r="B39" s="24" t="s">
        <v>339</v>
      </c>
      <c r="C39" s="25">
        <v>45286</v>
      </c>
      <c r="D39" s="13">
        <v>45657</v>
      </c>
      <c r="E39" s="17" t="s">
        <v>340</v>
      </c>
      <c r="F39" s="17" t="s">
        <v>341</v>
      </c>
      <c r="G39" s="10">
        <v>224914</v>
      </c>
      <c r="H39" s="10"/>
      <c r="I39" s="10"/>
      <c r="J39" s="10"/>
      <c r="K39" s="10"/>
      <c r="L39" s="10"/>
      <c r="M39" s="10"/>
      <c r="N39" s="10"/>
      <c r="O39" s="10"/>
      <c r="P39" s="10">
        <f>112457+112457</f>
        <v>224914</v>
      </c>
      <c r="Q39" s="10"/>
      <c r="R39" s="10"/>
      <c r="S39" s="10"/>
      <c r="T39" s="10"/>
      <c r="U39" s="10"/>
      <c r="V39" s="10"/>
      <c r="W39" s="10"/>
      <c r="X39" s="10"/>
      <c r="Y39" s="10">
        <f>112457+112457</f>
        <v>224914</v>
      </c>
      <c r="Z39" s="10">
        <f t="shared" ref="Z39" si="14">SUM(Q39:Y39)</f>
        <v>224914</v>
      </c>
      <c r="AA39" s="10">
        <f t="shared" si="0"/>
        <v>0</v>
      </c>
      <c r="AB39" s="20"/>
    </row>
    <row r="40" spans="1:28" s="21" customFormat="1" ht="24.75" customHeight="1" x14ac:dyDescent="0.2">
      <c r="A40" s="7">
        <v>36</v>
      </c>
      <c r="B40" s="24" t="s">
        <v>368</v>
      </c>
      <c r="C40" s="25">
        <v>45211</v>
      </c>
      <c r="D40" s="13">
        <v>45291</v>
      </c>
      <c r="E40" s="17" t="s">
        <v>369</v>
      </c>
      <c r="F40" s="17" t="s">
        <v>239</v>
      </c>
      <c r="G40" s="10">
        <v>56752.800000000003</v>
      </c>
      <c r="H40" s="10"/>
      <c r="I40" s="10"/>
      <c r="J40" s="10"/>
      <c r="K40" s="10"/>
      <c r="L40" s="10"/>
      <c r="M40" s="10"/>
      <c r="N40" s="10"/>
      <c r="O40" s="10"/>
      <c r="P40" s="10">
        <v>18917.599999999999</v>
      </c>
      <c r="Q40" s="10"/>
      <c r="R40" s="10"/>
      <c r="S40" s="10"/>
      <c r="T40" s="10"/>
      <c r="U40" s="10"/>
      <c r="V40" s="10"/>
      <c r="W40" s="10"/>
      <c r="X40" s="10"/>
      <c r="Y40" s="10">
        <v>18917.599999999999</v>
      </c>
      <c r="Z40" s="10">
        <f t="shared" ref="Z40" si="15">SUM(Q40:Y40)</f>
        <v>18917.599999999999</v>
      </c>
      <c r="AA40" s="10">
        <f t="shared" si="0"/>
        <v>37835.200000000004</v>
      </c>
      <c r="AB40" s="20"/>
    </row>
    <row r="41" spans="1:28" s="21" customFormat="1" ht="24.75" customHeight="1" x14ac:dyDescent="0.2">
      <c r="A41" s="7">
        <v>37</v>
      </c>
      <c r="B41" s="22" t="s">
        <v>370</v>
      </c>
      <c r="C41" s="23">
        <v>45211</v>
      </c>
      <c r="D41" s="14"/>
      <c r="E41" s="17" t="s">
        <v>371</v>
      </c>
      <c r="F41" s="17" t="s">
        <v>372</v>
      </c>
      <c r="G41" s="16"/>
      <c r="H41" s="10"/>
      <c r="I41" s="10"/>
      <c r="J41" s="10"/>
      <c r="K41" s="10"/>
      <c r="L41" s="10"/>
      <c r="M41" s="10"/>
      <c r="N41" s="10"/>
      <c r="O41" s="10"/>
      <c r="P41" s="10">
        <f>40317.6+2815.17</f>
        <v>43132.77</v>
      </c>
      <c r="Q41" s="10"/>
      <c r="R41" s="10"/>
      <c r="S41" s="10"/>
      <c r="T41" s="10"/>
      <c r="U41" s="10"/>
      <c r="V41" s="10"/>
      <c r="W41" s="10"/>
      <c r="X41" s="10"/>
      <c r="Y41" s="10">
        <f>40317.6+2815.17</f>
        <v>43132.77</v>
      </c>
      <c r="Z41" s="10">
        <f t="shared" ref="Z41" si="16">SUM(Q41:Y41)</f>
        <v>43132.77</v>
      </c>
      <c r="AA41" s="10">
        <f t="shared" si="0"/>
        <v>-43132.77</v>
      </c>
      <c r="AB41" s="20"/>
    </row>
    <row r="42" spans="1:28" s="21" customFormat="1" ht="24.75" customHeight="1" x14ac:dyDescent="0.2">
      <c r="A42" s="7">
        <v>38</v>
      </c>
      <c r="B42" s="22" t="s">
        <v>373</v>
      </c>
      <c r="C42" s="23">
        <v>45250</v>
      </c>
      <c r="D42" s="14"/>
      <c r="E42" s="17" t="s">
        <v>374</v>
      </c>
      <c r="F42" s="17" t="s">
        <v>375</v>
      </c>
      <c r="G42" s="16"/>
      <c r="H42" s="10"/>
      <c r="I42" s="10"/>
      <c r="J42" s="10"/>
      <c r="K42" s="10"/>
      <c r="L42" s="10"/>
      <c r="M42" s="10"/>
      <c r="N42" s="10"/>
      <c r="O42" s="10"/>
      <c r="P42" s="10">
        <v>19974.5</v>
      </c>
      <c r="Q42" s="10"/>
      <c r="R42" s="10"/>
      <c r="S42" s="10"/>
      <c r="T42" s="10"/>
      <c r="U42" s="10"/>
      <c r="V42" s="10"/>
      <c r="W42" s="10"/>
      <c r="X42" s="10"/>
      <c r="Y42" s="10">
        <v>19974.5</v>
      </c>
      <c r="Z42" s="10">
        <f t="shared" ref="Z42:Z45" si="17">SUM(Q42:Y42)</f>
        <v>19974.5</v>
      </c>
      <c r="AA42" s="10">
        <f t="shared" si="0"/>
        <v>-19974.5</v>
      </c>
      <c r="AB42" s="20"/>
    </row>
    <row r="43" spans="1:28" s="21" customFormat="1" ht="37.5" customHeight="1" x14ac:dyDescent="0.2">
      <c r="A43" s="7">
        <v>39</v>
      </c>
      <c r="B43" s="24" t="s">
        <v>377</v>
      </c>
      <c r="C43" s="25">
        <v>45313</v>
      </c>
      <c r="D43" s="25">
        <v>45657</v>
      </c>
      <c r="E43" s="17" t="s">
        <v>378</v>
      </c>
      <c r="F43" s="17" t="s">
        <v>232</v>
      </c>
      <c r="G43" s="10">
        <v>41912.400000000001</v>
      </c>
      <c r="H43" s="10"/>
      <c r="I43" s="10"/>
      <c r="J43" s="10"/>
      <c r="K43" s="10"/>
      <c r="L43" s="10"/>
      <c r="M43" s="10"/>
      <c r="N43" s="10"/>
      <c r="O43" s="10"/>
      <c r="P43" s="10">
        <v>41912.400000000001</v>
      </c>
      <c r="Q43" s="10"/>
      <c r="R43" s="10"/>
      <c r="S43" s="10"/>
      <c r="T43" s="10"/>
      <c r="U43" s="10"/>
      <c r="V43" s="10"/>
      <c r="W43" s="10"/>
      <c r="X43" s="10"/>
      <c r="Y43" s="10">
        <v>41912.400000000001</v>
      </c>
      <c r="Z43" s="10">
        <f t="shared" si="17"/>
        <v>41912.400000000001</v>
      </c>
      <c r="AA43" s="10">
        <f t="shared" si="0"/>
        <v>0</v>
      </c>
      <c r="AB43" s="20"/>
    </row>
    <row r="44" spans="1:28" s="21" customFormat="1" ht="36.75" customHeight="1" x14ac:dyDescent="0.2">
      <c r="A44" s="7">
        <v>40</v>
      </c>
      <c r="B44" s="24" t="s">
        <v>331</v>
      </c>
      <c r="C44" s="25">
        <v>45336</v>
      </c>
      <c r="D44" s="25">
        <v>45657</v>
      </c>
      <c r="E44" s="17" t="s">
        <v>379</v>
      </c>
      <c r="F44" s="17" t="s">
        <v>239</v>
      </c>
      <c r="G44" s="10">
        <v>97724.64</v>
      </c>
      <c r="H44" s="10"/>
      <c r="I44" s="10"/>
      <c r="J44" s="10"/>
      <c r="K44" s="10"/>
      <c r="L44" s="10"/>
      <c r="M44" s="10"/>
      <c r="N44" s="10"/>
      <c r="O44" s="10"/>
      <c r="P44" s="10">
        <f>22756.4+32523.6</f>
        <v>55280</v>
      </c>
      <c r="Q44" s="10"/>
      <c r="R44" s="10"/>
      <c r="S44" s="10"/>
      <c r="T44" s="10"/>
      <c r="U44" s="10"/>
      <c r="V44" s="10"/>
      <c r="W44" s="10"/>
      <c r="X44" s="10"/>
      <c r="Y44" s="10">
        <f>22756.4+32523.6</f>
        <v>55280</v>
      </c>
      <c r="Z44" s="10">
        <f t="shared" si="17"/>
        <v>55280</v>
      </c>
      <c r="AA44" s="10">
        <f t="shared" si="0"/>
        <v>42444.639999999999</v>
      </c>
      <c r="AB44" s="20"/>
    </row>
    <row r="45" spans="1:28" s="21" customFormat="1" ht="24.75" customHeight="1" x14ac:dyDescent="0.2">
      <c r="A45" s="7">
        <v>41</v>
      </c>
      <c r="B45" s="24" t="s">
        <v>333</v>
      </c>
      <c r="C45" s="25">
        <v>44984</v>
      </c>
      <c r="D45" s="28"/>
      <c r="E45" s="17" t="s">
        <v>338</v>
      </c>
      <c r="F45" s="17" t="s">
        <v>409</v>
      </c>
      <c r="G45" s="16"/>
      <c r="H45" s="10"/>
      <c r="I45" s="10"/>
      <c r="J45" s="10"/>
      <c r="K45" s="10"/>
      <c r="L45" s="10"/>
      <c r="M45" s="10"/>
      <c r="N45" s="10"/>
      <c r="O45" s="10"/>
      <c r="P45" s="10">
        <v>15566.36</v>
      </c>
      <c r="Q45" s="10"/>
      <c r="R45" s="10"/>
      <c r="S45" s="10"/>
      <c r="T45" s="10"/>
      <c r="U45" s="10"/>
      <c r="V45" s="10"/>
      <c r="W45" s="10"/>
      <c r="X45" s="10"/>
      <c r="Y45" s="10">
        <v>15566.36</v>
      </c>
      <c r="Z45" s="10">
        <f t="shared" si="17"/>
        <v>15566.36</v>
      </c>
      <c r="AA45" s="10">
        <f t="shared" si="0"/>
        <v>-15566.36</v>
      </c>
      <c r="AB45" s="20"/>
    </row>
    <row r="46" spans="1:28" s="21" customFormat="1" ht="24.75" customHeight="1" x14ac:dyDescent="0.2">
      <c r="A46" s="7">
        <v>42</v>
      </c>
      <c r="B46" s="24" t="s">
        <v>395</v>
      </c>
      <c r="C46" s="24" t="s">
        <v>396</v>
      </c>
      <c r="D46" s="25">
        <v>45657</v>
      </c>
      <c r="E46" s="6" t="s">
        <v>398</v>
      </c>
      <c r="F46" s="6" t="s">
        <v>397</v>
      </c>
      <c r="G46" s="10">
        <v>1682400</v>
      </c>
      <c r="H46" s="10"/>
      <c r="I46" s="10"/>
      <c r="J46" s="10"/>
      <c r="K46" s="10"/>
      <c r="L46" s="10"/>
      <c r="M46" s="11"/>
      <c r="N46" s="11"/>
      <c r="O46" s="11"/>
      <c r="P46" s="11">
        <f>181849.38+3750+185599.38+1311201.24</f>
        <v>1682400</v>
      </c>
      <c r="Q46" s="10"/>
      <c r="R46" s="11"/>
      <c r="S46" s="11"/>
      <c r="T46" s="11"/>
      <c r="U46" s="10"/>
      <c r="V46" s="10"/>
      <c r="W46" s="10"/>
      <c r="X46" s="10"/>
      <c r="Y46" s="11">
        <f>181849.38+3750+185599.38+1311201.24</f>
        <v>1682400</v>
      </c>
      <c r="Z46" s="10">
        <f t="shared" ref="Z46" si="18">SUM(Q46:Y46)</f>
        <v>1682400</v>
      </c>
      <c r="AA46" s="10">
        <f t="shared" si="0"/>
        <v>0</v>
      </c>
      <c r="AB46" s="20"/>
    </row>
    <row r="47" spans="1:28" s="21" customFormat="1" ht="36" customHeight="1" x14ac:dyDescent="0.2">
      <c r="A47" s="7">
        <v>43</v>
      </c>
      <c r="B47" s="24" t="s">
        <v>441</v>
      </c>
      <c r="C47" s="24" t="s">
        <v>523</v>
      </c>
      <c r="D47" s="25">
        <v>45291</v>
      </c>
      <c r="E47" s="6" t="s">
        <v>442</v>
      </c>
      <c r="F47" s="6" t="s">
        <v>443</v>
      </c>
      <c r="G47" s="16"/>
      <c r="H47" s="10"/>
      <c r="I47" s="10"/>
      <c r="J47" s="10"/>
      <c r="K47" s="10"/>
      <c r="L47" s="10"/>
      <c r="M47" s="11"/>
      <c r="N47" s="11"/>
      <c r="O47" s="11"/>
      <c r="P47" s="11">
        <f>10610+62090</f>
        <v>72700</v>
      </c>
      <c r="Q47" s="10"/>
      <c r="R47" s="11"/>
      <c r="S47" s="11"/>
      <c r="T47" s="11"/>
      <c r="U47" s="10"/>
      <c r="V47" s="10"/>
      <c r="W47" s="10"/>
      <c r="X47" s="10"/>
      <c r="Y47" s="11">
        <f>10610+62090</f>
        <v>72700</v>
      </c>
      <c r="Z47" s="10">
        <f t="shared" ref="Z47" si="19">SUM(Q47:Y47)</f>
        <v>72700</v>
      </c>
      <c r="AA47" s="10">
        <f t="shared" si="0"/>
        <v>-72700</v>
      </c>
      <c r="AB47" s="20"/>
    </row>
    <row r="48" spans="1:28" s="21" customFormat="1" ht="24.75" customHeight="1" x14ac:dyDescent="0.2">
      <c r="A48" s="7">
        <v>44</v>
      </c>
      <c r="B48" s="24" t="s">
        <v>458</v>
      </c>
      <c r="C48" s="24" t="s">
        <v>459</v>
      </c>
      <c r="D48" s="25">
        <v>45657</v>
      </c>
      <c r="E48" s="6" t="s">
        <v>460</v>
      </c>
      <c r="F48" s="6" t="s">
        <v>461</v>
      </c>
      <c r="G48" s="10">
        <v>1217841.44</v>
      </c>
      <c r="H48" s="10"/>
      <c r="I48" s="10"/>
      <c r="J48" s="10"/>
      <c r="K48" s="10"/>
      <c r="L48" s="10"/>
      <c r="M48" s="11"/>
      <c r="N48" s="11"/>
      <c r="O48" s="11"/>
      <c r="P48" s="11">
        <f>115982.35+123939.24+108831.42+194965.78+69914.08+45776.23+93296.65</f>
        <v>752705.75</v>
      </c>
      <c r="Q48" s="10"/>
      <c r="R48" s="11"/>
      <c r="S48" s="11"/>
      <c r="T48" s="11"/>
      <c r="U48" s="10"/>
      <c r="V48" s="10"/>
      <c r="W48" s="10"/>
      <c r="X48" s="10"/>
      <c r="Y48" s="11">
        <f>115982.35+123939.24+108831.42+194965.78+69914.08+45776.23+93296.65</f>
        <v>752705.75</v>
      </c>
      <c r="Z48" s="10">
        <f t="shared" ref="Z48" si="20">SUM(Q48:Y48)</f>
        <v>752705.75</v>
      </c>
      <c r="AA48" s="10">
        <f t="shared" si="0"/>
        <v>465135.68999999994</v>
      </c>
      <c r="AB48" s="20"/>
    </row>
    <row r="49" spans="1:28" s="21" customFormat="1" ht="18" customHeight="1" x14ac:dyDescent="0.2">
      <c r="A49" s="7">
        <v>45</v>
      </c>
      <c r="B49" s="24" t="s">
        <v>317</v>
      </c>
      <c r="C49" s="24" t="s">
        <v>464</v>
      </c>
      <c r="D49" s="25">
        <v>45657</v>
      </c>
      <c r="E49" s="6" t="s">
        <v>465</v>
      </c>
      <c r="F49" s="6" t="s">
        <v>239</v>
      </c>
      <c r="G49" s="10">
        <v>5174.7299999999996</v>
      </c>
      <c r="H49" s="10"/>
      <c r="I49" s="10"/>
      <c r="J49" s="10"/>
      <c r="K49" s="10"/>
      <c r="L49" s="10"/>
      <c r="M49" s="11"/>
      <c r="N49" s="11"/>
      <c r="O49" s="11"/>
      <c r="P49" s="11">
        <f>3715.79+1458.95</f>
        <v>5174.74</v>
      </c>
      <c r="Q49" s="10"/>
      <c r="R49" s="11"/>
      <c r="S49" s="11"/>
      <c r="T49" s="11"/>
      <c r="U49" s="10"/>
      <c r="V49" s="10"/>
      <c r="W49" s="10"/>
      <c r="X49" s="10"/>
      <c r="Y49" s="11">
        <f>3715.79+1458.95</f>
        <v>5174.74</v>
      </c>
      <c r="Z49" s="10">
        <f t="shared" ref="Z49" si="21">SUM(Q49:Y49)</f>
        <v>5174.74</v>
      </c>
      <c r="AA49" s="38">
        <f t="shared" si="0"/>
        <v>-1.0000000000218279E-2</v>
      </c>
      <c r="AB49" s="20"/>
    </row>
    <row r="50" spans="1:28" s="21" customFormat="1" ht="38.25" customHeight="1" x14ac:dyDescent="0.2">
      <c r="A50" s="7">
        <v>46</v>
      </c>
      <c r="B50" s="24" t="s">
        <v>490</v>
      </c>
      <c r="C50" s="24" t="s">
        <v>459</v>
      </c>
      <c r="D50" s="25">
        <v>45657</v>
      </c>
      <c r="E50" s="6" t="s">
        <v>491</v>
      </c>
      <c r="F50" s="6" t="s">
        <v>492</v>
      </c>
      <c r="G50" s="10">
        <v>1487571.78</v>
      </c>
      <c r="H50" s="10"/>
      <c r="I50" s="10"/>
      <c r="J50" s="10"/>
      <c r="K50" s="10"/>
      <c r="L50" s="10"/>
      <c r="M50" s="11"/>
      <c r="N50" s="11"/>
      <c r="O50" s="11"/>
      <c r="P50" s="11">
        <f>89051.82+12202.28+119250.43+108909.95+127381.36+1900.32+140153.95+187294.94</f>
        <v>786145.05</v>
      </c>
      <c r="Q50" s="10"/>
      <c r="R50" s="11"/>
      <c r="S50" s="11"/>
      <c r="T50" s="11"/>
      <c r="U50" s="10"/>
      <c r="V50" s="10"/>
      <c r="W50" s="10"/>
      <c r="X50" s="10"/>
      <c r="Y50" s="11">
        <f>89051.82+12202.28+119250.43+108909.95+127381.36+1900.32+140153.95+187294.94</f>
        <v>786145.05</v>
      </c>
      <c r="Z50" s="10">
        <f t="shared" ref="Z50" si="22">SUM(Q50:Y50)</f>
        <v>786145.05</v>
      </c>
      <c r="AA50" s="10">
        <f t="shared" si="0"/>
        <v>701426.73</v>
      </c>
      <c r="AB50" s="20"/>
    </row>
    <row r="51" spans="1:28" s="21" customFormat="1" ht="17.25" customHeight="1" x14ac:dyDescent="0.2">
      <c r="A51" s="7">
        <v>47</v>
      </c>
      <c r="B51" s="24" t="s">
        <v>144</v>
      </c>
      <c r="C51" s="24" t="s">
        <v>493</v>
      </c>
      <c r="D51" s="25">
        <v>45657</v>
      </c>
      <c r="E51" s="6" t="s">
        <v>494</v>
      </c>
      <c r="F51" s="6" t="s">
        <v>495</v>
      </c>
      <c r="G51" s="10">
        <v>3780</v>
      </c>
      <c r="H51" s="10"/>
      <c r="I51" s="10"/>
      <c r="J51" s="10"/>
      <c r="K51" s="10"/>
      <c r="L51" s="10"/>
      <c r="M51" s="11"/>
      <c r="N51" s="11"/>
      <c r="O51" s="11"/>
      <c r="P51" s="11">
        <v>3780</v>
      </c>
      <c r="Q51" s="10"/>
      <c r="R51" s="11"/>
      <c r="S51" s="11"/>
      <c r="T51" s="11"/>
      <c r="U51" s="10"/>
      <c r="V51" s="10"/>
      <c r="W51" s="10"/>
      <c r="X51" s="10"/>
      <c r="Y51" s="11">
        <v>3780</v>
      </c>
      <c r="Z51" s="10">
        <f t="shared" ref="Z51:Z54" si="23">SUM(Q51:Y51)</f>
        <v>3780</v>
      </c>
      <c r="AA51" s="10">
        <f t="shared" si="0"/>
        <v>0</v>
      </c>
      <c r="AB51" s="20"/>
    </row>
    <row r="52" spans="1:28" s="21" customFormat="1" ht="37.5" customHeight="1" x14ac:dyDescent="0.2">
      <c r="A52" s="7">
        <v>48</v>
      </c>
      <c r="B52" s="24" t="s">
        <v>496</v>
      </c>
      <c r="C52" s="24" t="s">
        <v>497</v>
      </c>
      <c r="D52" s="25">
        <v>45291</v>
      </c>
      <c r="E52" s="6" t="s">
        <v>499</v>
      </c>
      <c r="F52" s="6" t="s">
        <v>498</v>
      </c>
      <c r="G52" s="10">
        <v>67196</v>
      </c>
      <c r="H52" s="10"/>
      <c r="I52" s="10"/>
      <c r="J52" s="10"/>
      <c r="K52" s="10"/>
      <c r="L52" s="10"/>
      <c r="M52" s="11"/>
      <c r="N52" s="11"/>
      <c r="O52" s="11"/>
      <c r="P52" s="11">
        <v>67196</v>
      </c>
      <c r="Q52" s="10"/>
      <c r="R52" s="11"/>
      <c r="S52" s="11"/>
      <c r="T52" s="11"/>
      <c r="U52" s="10"/>
      <c r="V52" s="10"/>
      <c r="W52" s="10"/>
      <c r="X52" s="10"/>
      <c r="Y52" s="11">
        <v>67196</v>
      </c>
      <c r="Z52" s="10">
        <f t="shared" si="23"/>
        <v>67196</v>
      </c>
      <c r="AA52" s="10">
        <f t="shared" si="0"/>
        <v>0</v>
      </c>
      <c r="AB52" s="20"/>
    </row>
    <row r="53" spans="1:28" s="21" customFormat="1" ht="27.75" customHeight="1" x14ac:dyDescent="0.2">
      <c r="A53" s="7">
        <v>49</v>
      </c>
      <c r="B53" s="24" t="s">
        <v>500</v>
      </c>
      <c r="C53" s="24" t="s">
        <v>497</v>
      </c>
      <c r="D53" s="25">
        <v>45657</v>
      </c>
      <c r="E53" s="6" t="s">
        <v>501</v>
      </c>
      <c r="F53" s="6" t="s">
        <v>502</v>
      </c>
      <c r="G53" s="10">
        <v>28355</v>
      </c>
      <c r="H53" s="10"/>
      <c r="I53" s="10"/>
      <c r="J53" s="10"/>
      <c r="K53" s="10"/>
      <c r="L53" s="10"/>
      <c r="M53" s="11"/>
      <c r="N53" s="11"/>
      <c r="O53" s="11"/>
      <c r="P53" s="11">
        <v>28355</v>
      </c>
      <c r="Q53" s="10"/>
      <c r="R53" s="11"/>
      <c r="S53" s="11"/>
      <c r="T53" s="11"/>
      <c r="U53" s="10"/>
      <c r="V53" s="10"/>
      <c r="W53" s="10"/>
      <c r="X53" s="10"/>
      <c r="Y53" s="11">
        <v>28355</v>
      </c>
      <c r="Z53" s="10">
        <f t="shared" si="23"/>
        <v>28355</v>
      </c>
      <c r="AA53" s="10">
        <f t="shared" si="0"/>
        <v>0</v>
      </c>
      <c r="AB53" s="20"/>
    </row>
    <row r="54" spans="1:28" s="21" customFormat="1" ht="27.75" customHeight="1" x14ac:dyDescent="0.2">
      <c r="A54" s="7">
        <v>50</v>
      </c>
      <c r="B54" s="24" t="s">
        <v>503</v>
      </c>
      <c r="C54" s="24" t="s">
        <v>504</v>
      </c>
      <c r="D54" s="25">
        <v>45291</v>
      </c>
      <c r="E54" s="6" t="s">
        <v>505</v>
      </c>
      <c r="F54" s="6" t="s">
        <v>239</v>
      </c>
      <c r="G54" s="10">
        <v>8881</v>
      </c>
      <c r="H54" s="10"/>
      <c r="I54" s="10"/>
      <c r="J54" s="10"/>
      <c r="K54" s="10"/>
      <c r="L54" s="10"/>
      <c r="M54" s="11"/>
      <c r="N54" s="11"/>
      <c r="O54" s="11"/>
      <c r="P54" s="11">
        <v>8881</v>
      </c>
      <c r="Q54" s="10"/>
      <c r="R54" s="11"/>
      <c r="S54" s="11"/>
      <c r="T54" s="11"/>
      <c r="U54" s="10"/>
      <c r="V54" s="10"/>
      <c r="W54" s="10"/>
      <c r="X54" s="10"/>
      <c r="Y54" s="11">
        <v>8881</v>
      </c>
      <c r="Z54" s="10">
        <f t="shared" si="23"/>
        <v>8881</v>
      </c>
      <c r="AA54" s="10">
        <f t="shared" si="0"/>
        <v>0</v>
      </c>
      <c r="AB54" s="20"/>
    </row>
    <row r="55" spans="1:28" s="21" customFormat="1" ht="27.75" customHeight="1" x14ac:dyDescent="0.2">
      <c r="A55" s="7">
        <v>51</v>
      </c>
      <c r="B55" s="24" t="s">
        <v>402</v>
      </c>
      <c r="C55" s="24" t="s">
        <v>508</v>
      </c>
      <c r="D55" s="25">
        <v>45291</v>
      </c>
      <c r="E55" s="6" t="s">
        <v>509</v>
      </c>
      <c r="F55" s="6" t="s">
        <v>245</v>
      </c>
      <c r="G55" s="16"/>
      <c r="H55" s="10"/>
      <c r="I55" s="10"/>
      <c r="J55" s="10"/>
      <c r="K55" s="10"/>
      <c r="L55" s="10"/>
      <c r="M55" s="11"/>
      <c r="N55" s="11"/>
      <c r="O55" s="11"/>
      <c r="P55" s="11">
        <f>23250+46500+315175</f>
        <v>384925</v>
      </c>
      <c r="Q55" s="10"/>
      <c r="R55" s="11"/>
      <c r="S55" s="11"/>
      <c r="T55" s="11"/>
      <c r="U55" s="10"/>
      <c r="V55" s="10"/>
      <c r="W55" s="10"/>
      <c r="X55" s="10"/>
      <c r="Y55" s="11">
        <f>23250+46500+315175</f>
        <v>384925</v>
      </c>
      <c r="Z55" s="10">
        <f t="shared" ref="Z55" si="24">SUM(Q55:Y55)</f>
        <v>384925</v>
      </c>
      <c r="AA55" s="10">
        <f t="shared" si="0"/>
        <v>-384925</v>
      </c>
      <c r="AB55" s="20"/>
    </row>
    <row r="56" spans="1:28" s="21" customFormat="1" ht="39" customHeight="1" x14ac:dyDescent="0.2">
      <c r="A56" s="7">
        <v>52</v>
      </c>
      <c r="B56" s="24" t="s">
        <v>568</v>
      </c>
      <c r="C56" s="24" t="s">
        <v>569</v>
      </c>
      <c r="D56" s="25">
        <v>45291</v>
      </c>
      <c r="E56" s="6" t="s">
        <v>571</v>
      </c>
      <c r="F56" s="6" t="s">
        <v>570</v>
      </c>
      <c r="G56" s="16"/>
      <c r="H56" s="10"/>
      <c r="I56" s="10"/>
      <c r="J56" s="10"/>
      <c r="K56" s="10"/>
      <c r="L56" s="10"/>
      <c r="M56" s="11"/>
      <c r="N56" s="11"/>
      <c r="O56" s="11"/>
      <c r="P56" s="11">
        <f>26940+7400+11100+3700+14800</f>
        <v>63940</v>
      </c>
      <c r="Q56" s="10"/>
      <c r="R56" s="11"/>
      <c r="S56" s="11"/>
      <c r="T56" s="11"/>
      <c r="U56" s="10"/>
      <c r="V56" s="10"/>
      <c r="W56" s="10"/>
      <c r="X56" s="10"/>
      <c r="Y56" s="11">
        <f>26940+7400+11100+3700+14800</f>
        <v>63940</v>
      </c>
      <c r="Z56" s="10">
        <f t="shared" ref="Z56:Z57" si="25">SUM(Q56:Y56)</f>
        <v>63940</v>
      </c>
      <c r="AA56" s="10">
        <f t="shared" si="0"/>
        <v>-63940</v>
      </c>
      <c r="AB56" s="20"/>
    </row>
    <row r="57" spans="1:28" s="21" customFormat="1" ht="39" customHeight="1" x14ac:dyDescent="0.2">
      <c r="A57" s="7">
        <v>53</v>
      </c>
      <c r="B57" s="24" t="s">
        <v>424</v>
      </c>
      <c r="C57" s="24" t="s">
        <v>579</v>
      </c>
      <c r="D57" s="25">
        <v>45291</v>
      </c>
      <c r="E57" s="6" t="s">
        <v>580</v>
      </c>
      <c r="F57" s="6" t="s">
        <v>570</v>
      </c>
      <c r="G57" s="16"/>
      <c r="H57" s="10"/>
      <c r="I57" s="10"/>
      <c r="J57" s="10"/>
      <c r="K57" s="10"/>
      <c r="L57" s="10"/>
      <c r="M57" s="11"/>
      <c r="N57" s="11"/>
      <c r="O57" s="11"/>
      <c r="P57" s="11">
        <f>11100+14800+11100+11100+14800+37000</f>
        <v>99900</v>
      </c>
      <c r="Q57" s="10"/>
      <c r="R57" s="11"/>
      <c r="S57" s="11"/>
      <c r="T57" s="11"/>
      <c r="U57" s="10"/>
      <c r="V57" s="10"/>
      <c r="W57" s="10"/>
      <c r="X57" s="10"/>
      <c r="Y57" s="11">
        <f>11100+14800+11100+11100+14800+37000</f>
        <v>99900</v>
      </c>
      <c r="Z57" s="10">
        <f t="shared" si="25"/>
        <v>99900</v>
      </c>
      <c r="AA57" s="10">
        <f t="shared" si="0"/>
        <v>-99900</v>
      </c>
      <c r="AB57" s="20"/>
    </row>
    <row r="58" spans="1:28" s="21" customFormat="1" ht="27" customHeight="1" x14ac:dyDescent="0.2">
      <c r="A58" s="7">
        <v>54</v>
      </c>
      <c r="B58" s="24" t="s">
        <v>581</v>
      </c>
      <c r="C58" s="24" t="s">
        <v>582</v>
      </c>
      <c r="D58" s="25">
        <v>45291</v>
      </c>
      <c r="E58" s="17" t="s">
        <v>583</v>
      </c>
      <c r="F58" s="6" t="s">
        <v>239</v>
      </c>
      <c r="G58" s="10">
        <v>113559.1</v>
      </c>
      <c r="H58" s="10"/>
      <c r="I58" s="10"/>
      <c r="J58" s="10"/>
      <c r="K58" s="10"/>
      <c r="L58" s="10"/>
      <c r="M58" s="11"/>
      <c r="N58" s="11"/>
      <c r="O58" s="11"/>
      <c r="P58" s="11">
        <v>113559.1</v>
      </c>
      <c r="Q58" s="10"/>
      <c r="R58" s="11"/>
      <c r="S58" s="11"/>
      <c r="T58" s="11"/>
      <c r="U58" s="10"/>
      <c r="V58" s="10"/>
      <c r="W58" s="10"/>
      <c r="X58" s="10"/>
      <c r="Y58" s="11">
        <v>113559.1</v>
      </c>
      <c r="Z58" s="10">
        <f t="shared" ref="Z58" si="26">SUM(Q58:Y58)</f>
        <v>113559.1</v>
      </c>
      <c r="AA58" s="10">
        <f t="shared" si="0"/>
        <v>0</v>
      </c>
      <c r="AB58" s="20"/>
    </row>
    <row r="59" spans="1:28" s="21" customFormat="1" ht="35.25" customHeight="1" x14ac:dyDescent="0.2">
      <c r="A59" s="7">
        <v>55</v>
      </c>
      <c r="B59" s="24" t="s">
        <v>322</v>
      </c>
      <c r="C59" s="24" t="s">
        <v>584</v>
      </c>
      <c r="D59" s="25">
        <v>45291</v>
      </c>
      <c r="E59" s="6" t="s">
        <v>585</v>
      </c>
      <c r="F59" s="6" t="s">
        <v>570</v>
      </c>
      <c r="G59" s="16"/>
      <c r="H59" s="10"/>
      <c r="I59" s="10"/>
      <c r="J59" s="10"/>
      <c r="K59" s="10"/>
      <c r="L59" s="10"/>
      <c r="M59" s="11"/>
      <c r="N59" s="11"/>
      <c r="O59" s="11"/>
      <c r="P59" s="11">
        <f>72470+101985+62770+85095+22325+43245+155190</f>
        <v>543080</v>
      </c>
      <c r="Q59" s="10"/>
      <c r="R59" s="11"/>
      <c r="S59" s="11"/>
      <c r="T59" s="11"/>
      <c r="U59" s="10"/>
      <c r="V59" s="10"/>
      <c r="W59" s="10"/>
      <c r="X59" s="10"/>
      <c r="Y59" s="11">
        <f>72470+101985+62770+85095+22325+43245+155190</f>
        <v>543080</v>
      </c>
      <c r="Z59" s="10">
        <f t="shared" ref="Z59" si="27">SUM(Q59:Y59)</f>
        <v>543080</v>
      </c>
      <c r="AA59" s="10">
        <f t="shared" si="0"/>
        <v>-543080</v>
      </c>
      <c r="AB59" s="20"/>
    </row>
    <row r="60" spans="1:28" s="21" customFormat="1" ht="26.25" customHeight="1" x14ac:dyDescent="0.2">
      <c r="A60" s="7">
        <v>56</v>
      </c>
      <c r="B60" s="24" t="s">
        <v>594</v>
      </c>
      <c r="C60" s="24" t="s">
        <v>361</v>
      </c>
      <c r="D60" s="25">
        <v>45657</v>
      </c>
      <c r="E60" s="6" t="s">
        <v>595</v>
      </c>
      <c r="F60" s="6" t="s">
        <v>239</v>
      </c>
      <c r="G60" s="10">
        <v>892827.45</v>
      </c>
      <c r="H60" s="10"/>
      <c r="I60" s="10"/>
      <c r="J60" s="10"/>
      <c r="K60" s="10"/>
      <c r="L60" s="10"/>
      <c r="M60" s="11"/>
      <c r="N60" s="11"/>
      <c r="O60" s="11"/>
      <c r="P60" s="11">
        <f>326210+489315</f>
        <v>815525</v>
      </c>
      <c r="Q60" s="10"/>
      <c r="R60" s="11"/>
      <c r="S60" s="11"/>
      <c r="T60" s="11"/>
      <c r="U60" s="10"/>
      <c r="V60" s="10"/>
      <c r="W60" s="10"/>
      <c r="X60" s="10"/>
      <c r="Y60" s="11">
        <f>326210+489315</f>
        <v>815525</v>
      </c>
      <c r="Z60" s="10">
        <f t="shared" ref="Z60:Z64" si="28">SUM(Q60:Y60)</f>
        <v>815525</v>
      </c>
      <c r="AA60" s="10">
        <f t="shared" si="0"/>
        <v>77302.449999999953</v>
      </c>
      <c r="AB60" s="20"/>
    </row>
    <row r="61" spans="1:28" s="21" customFormat="1" ht="19.5" customHeight="1" x14ac:dyDescent="0.2">
      <c r="A61" s="7">
        <v>57</v>
      </c>
      <c r="B61" s="24" t="s">
        <v>605</v>
      </c>
      <c r="C61" s="24" t="s">
        <v>600</v>
      </c>
      <c r="D61" s="25">
        <v>45657</v>
      </c>
      <c r="E61" s="6" t="s">
        <v>84</v>
      </c>
      <c r="F61" s="6" t="s">
        <v>85</v>
      </c>
      <c r="G61" s="10">
        <v>4262</v>
      </c>
      <c r="H61" s="10"/>
      <c r="I61" s="10"/>
      <c r="J61" s="10"/>
      <c r="K61" s="10"/>
      <c r="L61" s="10">
        <v>4262</v>
      </c>
      <c r="M61" s="11"/>
      <c r="N61" s="11"/>
      <c r="O61" s="11"/>
      <c r="P61" s="11"/>
      <c r="Q61" s="10"/>
      <c r="R61" s="11"/>
      <c r="S61" s="11"/>
      <c r="T61" s="11"/>
      <c r="U61" s="10">
        <v>4262</v>
      </c>
      <c r="V61" s="10"/>
      <c r="W61" s="10"/>
      <c r="X61" s="10"/>
      <c r="Y61" s="11"/>
      <c r="Z61" s="10">
        <f t="shared" si="28"/>
        <v>4262</v>
      </c>
      <c r="AA61" s="10">
        <f t="shared" si="0"/>
        <v>0</v>
      </c>
      <c r="AB61" s="20"/>
    </row>
    <row r="62" spans="1:28" s="21" customFormat="1" ht="19.5" customHeight="1" x14ac:dyDescent="0.2">
      <c r="A62" s="7">
        <v>58</v>
      </c>
      <c r="B62" s="24" t="s">
        <v>613</v>
      </c>
      <c r="C62" s="24" t="s">
        <v>553</v>
      </c>
      <c r="D62" s="25">
        <v>45657</v>
      </c>
      <c r="E62" s="6" t="s">
        <v>140</v>
      </c>
      <c r="F62" s="6" t="s">
        <v>614</v>
      </c>
      <c r="G62" s="10">
        <v>3300</v>
      </c>
      <c r="H62" s="10"/>
      <c r="I62" s="10">
        <v>3300</v>
      </c>
      <c r="J62" s="10"/>
      <c r="K62" s="10"/>
      <c r="L62" s="10"/>
      <c r="M62" s="11"/>
      <c r="N62" s="11"/>
      <c r="O62" s="11"/>
      <c r="P62" s="11"/>
      <c r="Q62" s="10"/>
      <c r="R62" s="11">
        <v>3300</v>
      </c>
      <c r="S62" s="11"/>
      <c r="T62" s="11"/>
      <c r="U62" s="10"/>
      <c r="V62" s="10"/>
      <c r="W62" s="10"/>
      <c r="X62" s="10"/>
      <c r="Y62" s="11"/>
      <c r="Z62" s="10">
        <f t="shared" si="28"/>
        <v>3300</v>
      </c>
      <c r="AA62" s="10">
        <f t="shared" si="0"/>
        <v>0</v>
      </c>
      <c r="AB62" s="20"/>
    </row>
    <row r="63" spans="1:28" s="21" customFormat="1" ht="26.25" customHeight="1" x14ac:dyDescent="0.2">
      <c r="A63" s="7">
        <v>59</v>
      </c>
      <c r="B63" s="24" t="s">
        <v>619</v>
      </c>
      <c r="C63" s="24" t="s">
        <v>620</v>
      </c>
      <c r="D63" s="25">
        <v>45657</v>
      </c>
      <c r="E63" s="6" t="s">
        <v>180</v>
      </c>
      <c r="F63" s="6" t="s">
        <v>621</v>
      </c>
      <c r="G63" s="10">
        <v>1644</v>
      </c>
      <c r="H63" s="10"/>
      <c r="I63" s="10">
        <v>1644</v>
      </c>
      <c r="J63" s="10"/>
      <c r="K63" s="10"/>
      <c r="L63" s="10"/>
      <c r="M63" s="11"/>
      <c r="N63" s="11"/>
      <c r="O63" s="11"/>
      <c r="P63" s="11"/>
      <c r="Q63" s="10"/>
      <c r="R63" s="10">
        <v>1644</v>
      </c>
      <c r="S63" s="10"/>
      <c r="T63" s="11"/>
      <c r="U63" s="10"/>
      <c r="V63" s="10"/>
      <c r="W63" s="10"/>
      <c r="X63" s="10"/>
      <c r="Y63" s="11"/>
      <c r="Z63" s="10">
        <f t="shared" si="28"/>
        <v>1644</v>
      </c>
      <c r="AA63" s="10">
        <f t="shared" si="0"/>
        <v>0</v>
      </c>
      <c r="AB63" s="20"/>
    </row>
    <row r="64" spans="1:28" s="21" customFormat="1" ht="17.25" customHeight="1" x14ac:dyDescent="0.2">
      <c r="A64" s="7">
        <v>60</v>
      </c>
      <c r="B64" s="24" t="s">
        <v>650</v>
      </c>
      <c r="C64" s="24" t="s">
        <v>651</v>
      </c>
      <c r="D64" s="25">
        <v>45657</v>
      </c>
      <c r="E64" s="6" t="s">
        <v>225</v>
      </c>
      <c r="F64" s="6" t="s">
        <v>652</v>
      </c>
      <c r="G64" s="10">
        <v>47546</v>
      </c>
      <c r="H64" s="10"/>
      <c r="I64" s="10"/>
      <c r="J64" s="10"/>
      <c r="K64" s="10"/>
      <c r="L64" s="10"/>
      <c r="M64" s="11"/>
      <c r="N64" s="11"/>
      <c r="O64" s="11"/>
      <c r="P64" s="11">
        <v>47546</v>
      </c>
      <c r="Q64" s="10"/>
      <c r="R64" s="10"/>
      <c r="S64" s="10"/>
      <c r="T64" s="11"/>
      <c r="U64" s="10"/>
      <c r="V64" s="10"/>
      <c r="W64" s="10"/>
      <c r="X64" s="10"/>
      <c r="Y64" s="11">
        <v>47546</v>
      </c>
      <c r="Z64" s="10">
        <f t="shared" si="28"/>
        <v>47546</v>
      </c>
      <c r="AA64" s="10">
        <f t="shared" si="0"/>
        <v>0</v>
      </c>
      <c r="AB64" s="20"/>
    </row>
    <row r="65" spans="1:28" s="21" customFormat="1" ht="17.25" customHeight="1" x14ac:dyDescent="0.2">
      <c r="A65" s="7">
        <v>61</v>
      </c>
      <c r="B65" s="24" t="s">
        <v>689</v>
      </c>
      <c r="C65" s="24" t="s">
        <v>690</v>
      </c>
      <c r="D65" s="25">
        <v>45657</v>
      </c>
      <c r="E65" s="6" t="s">
        <v>691</v>
      </c>
      <c r="F65" s="6" t="s">
        <v>239</v>
      </c>
      <c r="G65" s="10">
        <f>160126.6-382.6</f>
        <v>159744</v>
      </c>
      <c r="H65" s="10"/>
      <c r="I65" s="10"/>
      <c r="J65" s="10"/>
      <c r="K65" s="10"/>
      <c r="L65" s="10">
        <v>986.1</v>
      </c>
      <c r="M65" s="11"/>
      <c r="N65" s="11"/>
      <c r="O65" s="11"/>
      <c r="P65" s="11">
        <f>12051.6+2640.84+440.14+4401.4+6829.24+1205.16+13580.45+6829.24+1393.6+15452.47+3287+1004.3+4720.21+1393.6+696.8+1643.5+8034.4+4017.2</f>
        <v>89621.150000000009</v>
      </c>
      <c r="Q65" s="10"/>
      <c r="R65" s="10"/>
      <c r="S65" s="10"/>
      <c r="T65" s="11"/>
      <c r="U65" s="10">
        <v>986.1</v>
      </c>
      <c r="V65" s="10"/>
      <c r="W65" s="10"/>
      <c r="X65" s="10"/>
      <c r="Y65" s="11">
        <f>12051.6+2640.84+440.14+4401.4+6829.24+1205.16+13580.45+6829.24+1393.6+15452.47+3287+1004.3+4720.21+1393.6+696.8+1643.5+8034.4+4017.2</f>
        <v>89621.150000000009</v>
      </c>
      <c r="Z65" s="10">
        <f t="shared" ref="Z65" si="29">SUM(Q65:Y65)</f>
        <v>90607.250000000015</v>
      </c>
      <c r="AA65" s="10">
        <f t="shared" si="0"/>
        <v>69136.749999999985</v>
      </c>
      <c r="AB65" s="20"/>
    </row>
    <row r="66" spans="1:28" s="21" customFormat="1" ht="17.25" customHeight="1" x14ac:dyDescent="0.2">
      <c r="A66" s="7">
        <v>62</v>
      </c>
      <c r="B66" s="24" t="s">
        <v>703</v>
      </c>
      <c r="C66" s="24" t="s">
        <v>700</v>
      </c>
      <c r="D66" s="25">
        <v>45657</v>
      </c>
      <c r="E66" s="6" t="s">
        <v>704</v>
      </c>
      <c r="F66" s="6" t="s">
        <v>705</v>
      </c>
      <c r="G66" s="10">
        <v>198</v>
      </c>
      <c r="H66" s="10"/>
      <c r="I66" s="10">
        <v>198</v>
      </c>
      <c r="J66" s="10"/>
      <c r="K66" s="10"/>
      <c r="L66" s="10"/>
      <c r="M66" s="11"/>
      <c r="N66" s="11"/>
      <c r="O66" s="11"/>
      <c r="P66" s="11"/>
      <c r="Q66" s="10"/>
      <c r="R66" s="10">
        <v>198</v>
      </c>
      <c r="S66" s="10"/>
      <c r="T66" s="11"/>
      <c r="U66" s="10"/>
      <c r="V66" s="10"/>
      <c r="W66" s="10"/>
      <c r="X66" s="10"/>
      <c r="Y66" s="11"/>
      <c r="Z66" s="10">
        <f t="shared" ref="Z66:Z77" si="30">SUM(Q66:Y66)</f>
        <v>198</v>
      </c>
      <c r="AA66" s="10">
        <f t="shared" si="0"/>
        <v>0</v>
      </c>
      <c r="AB66" s="20"/>
    </row>
    <row r="67" spans="1:28" s="21" customFormat="1" ht="27" customHeight="1" x14ac:dyDescent="0.2">
      <c r="A67" s="7">
        <v>63</v>
      </c>
      <c r="B67" s="24" t="s">
        <v>706</v>
      </c>
      <c r="C67" s="24" t="s">
        <v>700</v>
      </c>
      <c r="D67" s="25">
        <v>45657</v>
      </c>
      <c r="E67" s="6" t="s">
        <v>704</v>
      </c>
      <c r="F67" s="6" t="s">
        <v>707</v>
      </c>
      <c r="G67" s="10">
        <v>779.68</v>
      </c>
      <c r="H67" s="10"/>
      <c r="I67" s="10">
        <v>779.68</v>
      </c>
      <c r="J67" s="10"/>
      <c r="K67" s="10"/>
      <c r="L67" s="10"/>
      <c r="M67" s="11"/>
      <c r="N67" s="11"/>
      <c r="O67" s="11"/>
      <c r="P67" s="11"/>
      <c r="Q67" s="10"/>
      <c r="R67" s="10">
        <v>779.68</v>
      </c>
      <c r="S67" s="10"/>
      <c r="T67" s="11"/>
      <c r="U67" s="10"/>
      <c r="V67" s="10"/>
      <c r="W67" s="10"/>
      <c r="X67" s="10"/>
      <c r="Y67" s="11"/>
      <c r="Z67" s="10">
        <f t="shared" si="30"/>
        <v>779.68</v>
      </c>
      <c r="AA67" s="10">
        <f t="shared" si="0"/>
        <v>0</v>
      </c>
      <c r="AB67" s="20"/>
    </row>
    <row r="68" spans="1:28" s="21" customFormat="1" ht="17.25" customHeight="1" x14ac:dyDescent="0.2">
      <c r="A68" s="7">
        <v>64</v>
      </c>
      <c r="B68" s="24" t="s">
        <v>708</v>
      </c>
      <c r="C68" s="24" t="s">
        <v>700</v>
      </c>
      <c r="D68" s="25">
        <v>45657</v>
      </c>
      <c r="E68" s="6" t="s">
        <v>704</v>
      </c>
      <c r="F68" s="6" t="s">
        <v>709</v>
      </c>
      <c r="G68" s="10">
        <v>722.98</v>
      </c>
      <c r="H68" s="10"/>
      <c r="I68" s="10"/>
      <c r="J68" s="10"/>
      <c r="K68" s="10">
        <v>722.98</v>
      </c>
      <c r="L68" s="10"/>
      <c r="M68" s="11"/>
      <c r="N68" s="11"/>
      <c r="O68" s="11"/>
      <c r="P68" s="11"/>
      <c r="Q68" s="10"/>
      <c r="R68" s="10"/>
      <c r="S68" s="10"/>
      <c r="T68" s="10">
        <v>722.98</v>
      </c>
      <c r="U68" s="10"/>
      <c r="V68" s="10"/>
      <c r="W68" s="10"/>
      <c r="X68" s="10"/>
      <c r="Y68" s="11"/>
      <c r="Z68" s="10">
        <f t="shared" si="30"/>
        <v>722.98</v>
      </c>
      <c r="AA68" s="10">
        <f t="shared" si="0"/>
        <v>0</v>
      </c>
      <c r="AB68" s="20"/>
    </row>
    <row r="69" spans="1:28" s="21" customFormat="1" ht="27.75" customHeight="1" x14ac:dyDescent="0.2">
      <c r="A69" s="7">
        <v>65</v>
      </c>
      <c r="B69" s="24" t="s">
        <v>726</v>
      </c>
      <c r="C69" s="24" t="s">
        <v>727</v>
      </c>
      <c r="D69" s="25">
        <v>45657</v>
      </c>
      <c r="E69" s="6" t="s">
        <v>729</v>
      </c>
      <c r="F69" s="6" t="s">
        <v>728</v>
      </c>
      <c r="G69" s="10">
        <v>424850</v>
      </c>
      <c r="H69" s="10">
        <v>59575</v>
      </c>
      <c r="I69" s="10">
        <v>59575</v>
      </c>
      <c r="J69" s="10"/>
      <c r="K69" s="10"/>
      <c r="L69" s="10"/>
      <c r="M69" s="11"/>
      <c r="N69" s="11"/>
      <c r="O69" s="11"/>
      <c r="P69" s="11">
        <f>222110+83590</f>
        <v>305700</v>
      </c>
      <c r="Q69" s="10">
        <v>59575</v>
      </c>
      <c r="R69" s="10">
        <v>59575</v>
      </c>
      <c r="S69" s="10"/>
      <c r="T69" s="10"/>
      <c r="U69" s="10"/>
      <c r="V69" s="10"/>
      <c r="W69" s="10"/>
      <c r="X69" s="10"/>
      <c r="Y69" s="11">
        <f>222110+83590</f>
        <v>305700</v>
      </c>
      <c r="Z69" s="10">
        <f t="shared" si="30"/>
        <v>424850</v>
      </c>
      <c r="AA69" s="10">
        <f t="shared" ref="AA69:AA77" si="31">G69-Z69</f>
        <v>0</v>
      </c>
      <c r="AB69" s="20"/>
    </row>
    <row r="70" spans="1:28" s="21" customFormat="1" ht="16.5" customHeight="1" x14ac:dyDescent="0.2">
      <c r="A70" s="7">
        <v>66</v>
      </c>
      <c r="B70" s="24" t="s">
        <v>732</v>
      </c>
      <c r="C70" s="24" t="s">
        <v>651</v>
      </c>
      <c r="D70" s="25">
        <v>45657</v>
      </c>
      <c r="E70" s="6" t="s">
        <v>183</v>
      </c>
      <c r="F70" s="6" t="s">
        <v>184</v>
      </c>
      <c r="G70" s="10">
        <v>2000</v>
      </c>
      <c r="H70" s="10"/>
      <c r="I70" s="10"/>
      <c r="J70" s="10"/>
      <c r="K70" s="10"/>
      <c r="L70" s="10"/>
      <c r="M70" s="11"/>
      <c r="N70" s="11"/>
      <c r="O70" s="11"/>
      <c r="P70" s="11">
        <v>2000</v>
      </c>
      <c r="Q70" s="10"/>
      <c r="R70" s="10"/>
      <c r="S70" s="10"/>
      <c r="T70" s="10"/>
      <c r="U70" s="10"/>
      <c r="V70" s="10"/>
      <c r="W70" s="10"/>
      <c r="X70" s="10"/>
      <c r="Y70" s="11">
        <v>2000</v>
      </c>
      <c r="Z70" s="10">
        <f t="shared" si="30"/>
        <v>2000</v>
      </c>
      <c r="AA70" s="10">
        <f t="shared" si="31"/>
        <v>0</v>
      </c>
      <c r="AB70" s="20"/>
    </row>
    <row r="71" spans="1:28" s="21" customFormat="1" ht="16.5" customHeight="1" x14ac:dyDescent="0.2">
      <c r="A71" s="7">
        <v>67</v>
      </c>
      <c r="B71" s="24" t="s">
        <v>733</v>
      </c>
      <c r="C71" s="24" t="s">
        <v>651</v>
      </c>
      <c r="D71" s="25">
        <v>45657</v>
      </c>
      <c r="E71" s="6" t="s">
        <v>183</v>
      </c>
      <c r="F71" s="6" t="s">
        <v>734</v>
      </c>
      <c r="G71" s="10">
        <v>9616</v>
      </c>
      <c r="H71" s="10"/>
      <c r="I71" s="10"/>
      <c r="J71" s="10"/>
      <c r="K71" s="10"/>
      <c r="L71" s="10"/>
      <c r="M71" s="11"/>
      <c r="N71" s="11"/>
      <c r="O71" s="11"/>
      <c r="P71" s="11">
        <v>9616</v>
      </c>
      <c r="Q71" s="10"/>
      <c r="R71" s="10"/>
      <c r="S71" s="10"/>
      <c r="T71" s="10"/>
      <c r="U71" s="10"/>
      <c r="V71" s="10"/>
      <c r="W71" s="10"/>
      <c r="X71" s="10"/>
      <c r="Y71" s="11">
        <v>9616</v>
      </c>
      <c r="Z71" s="10">
        <f t="shared" si="30"/>
        <v>9616</v>
      </c>
      <c r="AA71" s="10">
        <f t="shared" si="31"/>
        <v>0</v>
      </c>
      <c r="AB71" s="20"/>
    </row>
    <row r="72" spans="1:28" s="21" customFormat="1" ht="16.5" customHeight="1" x14ac:dyDescent="0.2">
      <c r="A72" s="7">
        <v>68</v>
      </c>
      <c r="B72" s="24" t="s">
        <v>735</v>
      </c>
      <c r="C72" s="24" t="s">
        <v>651</v>
      </c>
      <c r="D72" s="25">
        <v>45657</v>
      </c>
      <c r="E72" s="6" t="s">
        <v>183</v>
      </c>
      <c r="F72" s="6" t="s">
        <v>736</v>
      </c>
      <c r="G72" s="10">
        <v>93982</v>
      </c>
      <c r="H72" s="10"/>
      <c r="I72" s="10"/>
      <c r="J72" s="10"/>
      <c r="K72" s="10"/>
      <c r="L72" s="10"/>
      <c r="M72" s="11"/>
      <c r="N72" s="11"/>
      <c r="O72" s="11"/>
      <c r="P72" s="11">
        <v>93982</v>
      </c>
      <c r="Q72" s="10"/>
      <c r="R72" s="10"/>
      <c r="S72" s="10"/>
      <c r="T72" s="10"/>
      <c r="U72" s="10"/>
      <c r="V72" s="10"/>
      <c r="W72" s="10"/>
      <c r="X72" s="10"/>
      <c r="Y72" s="11">
        <v>93982</v>
      </c>
      <c r="Z72" s="10">
        <f t="shared" si="30"/>
        <v>93982</v>
      </c>
      <c r="AA72" s="10">
        <f t="shared" si="31"/>
        <v>0</v>
      </c>
      <c r="AB72" s="20"/>
    </row>
    <row r="73" spans="1:28" s="21" customFormat="1" ht="27.75" customHeight="1" x14ac:dyDescent="0.2">
      <c r="A73" s="7">
        <v>69</v>
      </c>
      <c r="B73" s="24" t="s">
        <v>739</v>
      </c>
      <c r="C73" s="24" t="s">
        <v>740</v>
      </c>
      <c r="D73" s="25">
        <v>45657</v>
      </c>
      <c r="E73" s="6" t="s">
        <v>741</v>
      </c>
      <c r="F73" s="6" t="s">
        <v>492</v>
      </c>
      <c r="G73" s="10">
        <v>1414454</v>
      </c>
      <c r="H73" s="10"/>
      <c r="I73" s="10"/>
      <c r="J73" s="10"/>
      <c r="K73" s="10"/>
      <c r="L73" s="10"/>
      <c r="M73" s="11"/>
      <c r="N73" s="11"/>
      <c r="O73" s="11"/>
      <c r="P73" s="11">
        <f>181485+7440+90912+143332+84130+220439</f>
        <v>727738</v>
      </c>
      <c r="Q73" s="10"/>
      <c r="R73" s="10"/>
      <c r="S73" s="10"/>
      <c r="T73" s="10"/>
      <c r="U73" s="10"/>
      <c r="V73" s="10"/>
      <c r="W73" s="10"/>
      <c r="X73" s="10"/>
      <c r="Y73" s="11">
        <f>181485+7440+90912+143332+84130+220439</f>
        <v>727738</v>
      </c>
      <c r="Z73" s="10">
        <f t="shared" si="30"/>
        <v>727738</v>
      </c>
      <c r="AA73" s="10">
        <f t="shared" si="31"/>
        <v>686716</v>
      </c>
      <c r="AB73" s="20"/>
    </row>
    <row r="74" spans="1:28" s="21" customFormat="1" ht="18" customHeight="1" x14ac:dyDescent="0.2">
      <c r="A74" s="7">
        <v>70</v>
      </c>
      <c r="B74" s="24" t="s">
        <v>748</v>
      </c>
      <c r="C74" s="24" t="s">
        <v>749</v>
      </c>
      <c r="D74" s="25">
        <v>45657</v>
      </c>
      <c r="E74" s="6" t="s">
        <v>270</v>
      </c>
      <c r="F74" s="6" t="s">
        <v>750</v>
      </c>
      <c r="G74" s="10">
        <v>1248</v>
      </c>
      <c r="H74" s="10"/>
      <c r="I74" s="10"/>
      <c r="J74" s="10"/>
      <c r="K74" s="10">
        <v>1248</v>
      </c>
      <c r="L74" s="10"/>
      <c r="M74" s="11"/>
      <c r="N74" s="11"/>
      <c r="O74" s="11"/>
      <c r="P74" s="11"/>
      <c r="Q74" s="10"/>
      <c r="R74" s="10"/>
      <c r="S74" s="10"/>
      <c r="T74" s="10">
        <v>1248</v>
      </c>
      <c r="U74" s="10"/>
      <c r="V74" s="10"/>
      <c r="W74" s="10"/>
      <c r="X74" s="10"/>
      <c r="Y74" s="11"/>
      <c r="Z74" s="10">
        <f t="shared" si="30"/>
        <v>1248</v>
      </c>
      <c r="AA74" s="10">
        <f t="shared" si="31"/>
        <v>0</v>
      </c>
      <c r="AB74" s="20"/>
    </row>
    <row r="75" spans="1:28" s="21" customFormat="1" ht="18" customHeight="1" x14ac:dyDescent="0.2">
      <c r="A75" s="7">
        <v>71</v>
      </c>
      <c r="B75" s="24" t="s">
        <v>751</v>
      </c>
      <c r="C75" s="24" t="s">
        <v>471</v>
      </c>
      <c r="D75" s="25">
        <v>45657</v>
      </c>
      <c r="E75" s="47" t="s">
        <v>752</v>
      </c>
      <c r="F75" s="6" t="s">
        <v>753</v>
      </c>
      <c r="G75" s="46">
        <v>17815.5</v>
      </c>
      <c r="H75" s="10"/>
      <c r="I75" s="10"/>
      <c r="J75" s="10"/>
      <c r="K75" s="10"/>
      <c r="L75" s="10"/>
      <c r="M75" s="11"/>
      <c r="N75" s="11"/>
      <c r="O75" s="11"/>
      <c r="P75" s="11">
        <f>6933.6+10881.9</f>
        <v>17815.5</v>
      </c>
      <c r="Q75" s="10"/>
      <c r="R75" s="10"/>
      <c r="S75" s="10"/>
      <c r="T75" s="10"/>
      <c r="U75" s="10"/>
      <c r="V75" s="10"/>
      <c r="W75" s="10"/>
      <c r="X75" s="10"/>
      <c r="Y75" s="11">
        <f>6933.6+10881.9</f>
        <v>17815.5</v>
      </c>
      <c r="Z75" s="10">
        <f t="shared" si="30"/>
        <v>17815.5</v>
      </c>
      <c r="AA75" s="10">
        <f t="shared" si="31"/>
        <v>0</v>
      </c>
      <c r="AB75" s="20"/>
    </row>
    <row r="76" spans="1:28" s="21" customFormat="1" ht="38.25" customHeight="1" x14ac:dyDescent="0.2">
      <c r="A76" s="7">
        <v>72</v>
      </c>
      <c r="B76" s="24" t="s">
        <v>757</v>
      </c>
      <c r="C76" s="24" t="s">
        <v>758</v>
      </c>
      <c r="D76" s="25">
        <v>45657</v>
      </c>
      <c r="E76" s="47" t="s">
        <v>759</v>
      </c>
      <c r="F76" s="6" t="s">
        <v>760</v>
      </c>
      <c r="G76" s="46">
        <v>71500</v>
      </c>
      <c r="H76" s="10"/>
      <c r="I76" s="10"/>
      <c r="J76" s="10"/>
      <c r="K76" s="10">
        <v>50000</v>
      </c>
      <c r="L76" s="10"/>
      <c r="M76" s="11"/>
      <c r="N76" s="11"/>
      <c r="O76" s="11"/>
      <c r="P76" s="11">
        <v>21500</v>
      </c>
      <c r="Q76" s="10"/>
      <c r="R76" s="10"/>
      <c r="S76" s="10"/>
      <c r="T76" s="10">
        <v>50000</v>
      </c>
      <c r="U76" s="10"/>
      <c r="V76" s="10"/>
      <c r="W76" s="10"/>
      <c r="X76" s="10"/>
      <c r="Y76" s="11">
        <v>21500</v>
      </c>
      <c r="Z76" s="10">
        <f t="shared" si="30"/>
        <v>71500</v>
      </c>
      <c r="AA76" s="10">
        <f t="shared" si="31"/>
        <v>0</v>
      </c>
      <c r="AB76" s="20"/>
    </row>
    <row r="77" spans="1:28" s="21" customFormat="1" ht="16.5" customHeight="1" x14ac:dyDescent="0.2">
      <c r="A77" s="7">
        <v>73</v>
      </c>
      <c r="B77" s="24" t="s">
        <v>761</v>
      </c>
      <c r="C77" s="24" t="s">
        <v>762</v>
      </c>
      <c r="D77" s="25">
        <v>45657</v>
      </c>
      <c r="E77" s="6" t="s">
        <v>763</v>
      </c>
      <c r="F77" s="6" t="s">
        <v>764</v>
      </c>
      <c r="G77" s="10">
        <v>1053</v>
      </c>
      <c r="H77" s="10"/>
      <c r="I77" s="10"/>
      <c r="J77" s="10"/>
      <c r="K77" s="10"/>
      <c r="L77" s="10"/>
      <c r="M77" s="11"/>
      <c r="N77" s="11"/>
      <c r="O77" s="11"/>
      <c r="P77" s="11">
        <v>1053</v>
      </c>
      <c r="Q77" s="10"/>
      <c r="R77" s="10"/>
      <c r="S77" s="10"/>
      <c r="T77" s="10"/>
      <c r="U77" s="10"/>
      <c r="V77" s="10"/>
      <c r="W77" s="10"/>
      <c r="X77" s="10"/>
      <c r="Y77" s="11">
        <v>1053</v>
      </c>
      <c r="Z77" s="10">
        <f t="shared" si="30"/>
        <v>1053</v>
      </c>
      <c r="AA77" s="10">
        <f t="shared" si="31"/>
        <v>0</v>
      </c>
      <c r="AB77" s="20"/>
    </row>
    <row r="78" spans="1:28" s="21" customFormat="1" ht="25.5" customHeight="1" x14ac:dyDescent="0.2">
      <c r="A78" s="7">
        <v>74</v>
      </c>
      <c r="B78" s="24" t="s">
        <v>793</v>
      </c>
      <c r="C78" s="24" t="s">
        <v>794</v>
      </c>
      <c r="D78" s="25">
        <v>45657</v>
      </c>
      <c r="E78" s="6" t="s">
        <v>791</v>
      </c>
      <c r="F78" s="6" t="s">
        <v>795</v>
      </c>
      <c r="G78" s="10">
        <v>2000</v>
      </c>
      <c r="H78" s="10"/>
      <c r="I78" s="10"/>
      <c r="J78" s="10"/>
      <c r="K78" s="10"/>
      <c r="L78" s="10"/>
      <c r="M78" s="11"/>
      <c r="N78" s="11"/>
      <c r="O78" s="11"/>
      <c r="P78" s="10">
        <v>2000</v>
      </c>
      <c r="Q78" s="10"/>
      <c r="R78" s="10"/>
      <c r="S78" s="10"/>
      <c r="T78" s="10"/>
      <c r="U78" s="10"/>
      <c r="V78" s="10"/>
      <c r="W78" s="10"/>
      <c r="X78" s="10"/>
      <c r="Y78" s="10">
        <v>2000</v>
      </c>
      <c r="Z78" s="10">
        <f t="shared" ref="Z78" si="32">SUM(Q78:Y78)</f>
        <v>2000</v>
      </c>
      <c r="AA78" s="10">
        <f t="shared" ref="AA78" si="33">G78-Z78</f>
        <v>0</v>
      </c>
      <c r="AB78" s="20"/>
    </row>
    <row r="79" spans="1:28" s="21" customFormat="1" ht="16.5" customHeight="1" x14ac:dyDescent="0.2">
      <c r="A79" s="7">
        <v>75</v>
      </c>
      <c r="B79" s="24" t="s">
        <v>803</v>
      </c>
      <c r="C79" s="24" t="s">
        <v>801</v>
      </c>
      <c r="D79" s="25">
        <v>45657</v>
      </c>
      <c r="E79" s="6" t="s">
        <v>804</v>
      </c>
      <c r="F79" s="6" t="s">
        <v>805</v>
      </c>
      <c r="G79" s="10">
        <v>34894</v>
      </c>
      <c r="H79" s="10"/>
      <c r="I79" s="10"/>
      <c r="J79" s="10"/>
      <c r="K79" s="10"/>
      <c r="L79" s="10"/>
      <c r="M79" s="11"/>
      <c r="N79" s="11"/>
      <c r="O79" s="11"/>
      <c r="P79" s="10">
        <v>34894</v>
      </c>
      <c r="Q79" s="10"/>
      <c r="R79" s="10"/>
      <c r="S79" s="10"/>
      <c r="T79" s="10"/>
      <c r="U79" s="10"/>
      <c r="V79" s="10"/>
      <c r="W79" s="10"/>
      <c r="X79" s="10"/>
      <c r="Y79" s="10">
        <v>34894</v>
      </c>
      <c r="Z79" s="10">
        <f t="shared" ref="Z79" si="34">SUM(Q79:Y79)</f>
        <v>34894</v>
      </c>
      <c r="AA79" s="10">
        <f t="shared" ref="AA79" si="35">G79-Z79</f>
        <v>0</v>
      </c>
      <c r="AB79" s="20"/>
    </row>
    <row r="80" spans="1:28" s="21" customFormat="1" ht="16.5" customHeight="1" x14ac:dyDescent="0.2">
      <c r="A80" s="7">
        <v>76</v>
      </c>
      <c r="B80" s="24" t="s">
        <v>858</v>
      </c>
      <c r="C80" s="24" t="s">
        <v>859</v>
      </c>
      <c r="D80" s="25">
        <v>45657</v>
      </c>
      <c r="E80" s="6" t="s">
        <v>63</v>
      </c>
      <c r="F80" s="6" t="s">
        <v>64</v>
      </c>
      <c r="G80" s="10">
        <v>5362.05</v>
      </c>
      <c r="H80" s="10"/>
      <c r="I80" s="10">
        <v>5362.05</v>
      </c>
      <c r="J80" s="10"/>
      <c r="K80" s="10"/>
      <c r="L80" s="10"/>
      <c r="M80" s="11"/>
      <c r="N80" s="11"/>
      <c r="O80" s="11"/>
      <c r="P80" s="10"/>
      <c r="Q80" s="10"/>
      <c r="R80" s="10">
        <v>5362.05</v>
      </c>
      <c r="S80" s="10"/>
      <c r="T80" s="10"/>
      <c r="U80" s="10"/>
      <c r="V80" s="10"/>
      <c r="W80" s="10"/>
      <c r="X80" s="10"/>
      <c r="Y80" s="10"/>
      <c r="Z80" s="10">
        <f t="shared" ref="Z80" si="36">SUM(Q80:Y80)</f>
        <v>5362.05</v>
      </c>
      <c r="AA80" s="10">
        <f t="shared" ref="AA80" si="37">G80-Z80</f>
        <v>0</v>
      </c>
      <c r="AB80" s="20"/>
    </row>
    <row r="81" spans="1:28" s="21" customFormat="1" ht="16.5" customHeight="1" x14ac:dyDescent="0.2">
      <c r="A81" s="7">
        <v>77</v>
      </c>
      <c r="B81" s="24" t="s">
        <v>860</v>
      </c>
      <c r="C81" s="24" t="s">
        <v>861</v>
      </c>
      <c r="D81" s="25">
        <v>45657</v>
      </c>
      <c r="E81" s="6" t="s">
        <v>270</v>
      </c>
      <c r="F81" s="6" t="s">
        <v>750</v>
      </c>
      <c r="G81" s="10">
        <v>1248</v>
      </c>
      <c r="H81" s="10"/>
      <c r="I81" s="10"/>
      <c r="J81" s="10"/>
      <c r="K81" s="10">
        <v>1248</v>
      </c>
      <c r="L81" s="10"/>
      <c r="M81" s="11"/>
      <c r="N81" s="11"/>
      <c r="O81" s="11"/>
      <c r="P81" s="10"/>
      <c r="Q81" s="10"/>
      <c r="R81" s="10"/>
      <c r="S81" s="10"/>
      <c r="T81" s="10">
        <v>1248</v>
      </c>
      <c r="U81" s="10"/>
      <c r="V81" s="10"/>
      <c r="W81" s="10"/>
      <c r="X81" s="10"/>
      <c r="Y81" s="10"/>
      <c r="Z81" s="10">
        <f t="shared" ref="Z81" si="38">SUM(Q81:Y81)</f>
        <v>1248</v>
      </c>
      <c r="AA81" s="10">
        <f t="shared" ref="AA81" si="39">G81-Z81</f>
        <v>0</v>
      </c>
      <c r="AB81" s="20"/>
    </row>
    <row r="82" spans="1:28" s="21" customFormat="1" ht="65.25" customHeight="1" x14ac:dyDescent="0.2">
      <c r="A82" s="7">
        <v>78</v>
      </c>
      <c r="B82" s="24" t="s">
        <v>862</v>
      </c>
      <c r="C82" s="24" t="s">
        <v>863</v>
      </c>
      <c r="D82" s="25">
        <v>45657</v>
      </c>
      <c r="E82" s="6" t="s">
        <v>864</v>
      </c>
      <c r="F82" s="6" t="s">
        <v>865</v>
      </c>
      <c r="G82" s="10">
        <v>232800</v>
      </c>
      <c r="H82" s="10"/>
      <c r="I82" s="10"/>
      <c r="J82" s="10"/>
      <c r="K82" s="10"/>
      <c r="L82" s="10"/>
      <c r="M82" s="11"/>
      <c r="N82" s="11"/>
      <c r="O82" s="11"/>
      <c r="P82" s="10">
        <f>24600+47000+5700+101700+46800</f>
        <v>225800</v>
      </c>
      <c r="Q82" s="10"/>
      <c r="R82" s="10"/>
      <c r="S82" s="10"/>
      <c r="T82" s="10"/>
      <c r="U82" s="10"/>
      <c r="V82" s="10"/>
      <c r="W82" s="10"/>
      <c r="X82" s="10"/>
      <c r="Y82" s="10">
        <f>24600+47000+5700+101700+46800</f>
        <v>225800</v>
      </c>
      <c r="Z82" s="10">
        <f t="shared" ref="Z82" si="40">SUM(Q82:Y82)</f>
        <v>225800</v>
      </c>
      <c r="AA82" s="10">
        <f t="shared" ref="AA82" si="41">G82-Z82</f>
        <v>7000</v>
      </c>
      <c r="AB82" s="20"/>
    </row>
    <row r="83" spans="1:28" s="21" customFormat="1" ht="37.5" customHeight="1" x14ac:dyDescent="0.2">
      <c r="A83" s="7">
        <v>79</v>
      </c>
      <c r="B83" s="24" t="s">
        <v>880</v>
      </c>
      <c r="C83" s="24" t="s">
        <v>861</v>
      </c>
      <c r="D83" s="25">
        <v>45657</v>
      </c>
      <c r="E83" s="6" t="s">
        <v>881</v>
      </c>
      <c r="F83" s="6" t="s">
        <v>882</v>
      </c>
      <c r="G83" s="10">
        <v>13750</v>
      </c>
      <c r="H83" s="10"/>
      <c r="I83" s="10"/>
      <c r="J83" s="10"/>
      <c r="K83" s="10"/>
      <c r="L83" s="10"/>
      <c r="M83" s="11"/>
      <c r="N83" s="11"/>
      <c r="O83" s="11"/>
      <c r="P83" s="10">
        <f>3025+10725</f>
        <v>13750</v>
      </c>
      <c r="Q83" s="10"/>
      <c r="R83" s="10"/>
      <c r="S83" s="10"/>
      <c r="T83" s="10"/>
      <c r="U83" s="10"/>
      <c r="V83" s="10"/>
      <c r="W83" s="10"/>
      <c r="X83" s="10"/>
      <c r="Y83" s="10">
        <f>3025+10725</f>
        <v>13750</v>
      </c>
      <c r="Z83" s="10">
        <f t="shared" ref="Z83" si="42">SUM(Q83:Y83)</f>
        <v>13750</v>
      </c>
      <c r="AA83" s="10">
        <f t="shared" ref="AA83" si="43">G83-Z83</f>
        <v>0</v>
      </c>
      <c r="AB83" s="20"/>
    </row>
    <row r="84" spans="1:28" s="21" customFormat="1" ht="51.75" customHeight="1" x14ac:dyDescent="0.2">
      <c r="A84" s="7">
        <v>80</v>
      </c>
      <c r="B84" s="24" t="s">
        <v>862</v>
      </c>
      <c r="C84" s="24" t="s">
        <v>863</v>
      </c>
      <c r="D84" s="25">
        <v>45657</v>
      </c>
      <c r="E84" s="6" t="s">
        <v>881</v>
      </c>
      <c r="F84" s="6" t="s">
        <v>883</v>
      </c>
      <c r="G84" s="10">
        <v>232800</v>
      </c>
      <c r="H84" s="10"/>
      <c r="I84" s="10"/>
      <c r="J84" s="10"/>
      <c r="K84" s="10"/>
      <c r="L84" s="10"/>
      <c r="M84" s="11"/>
      <c r="N84" s="11"/>
      <c r="O84" s="11"/>
      <c r="P84" s="10">
        <f>47000+7000</f>
        <v>54000</v>
      </c>
      <c r="Q84" s="10"/>
      <c r="R84" s="10"/>
      <c r="S84" s="10"/>
      <c r="T84" s="10"/>
      <c r="U84" s="10"/>
      <c r="V84" s="10"/>
      <c r="W84" s="10"/>
      <c r="X84" s="10"/>
      <c r="Y84" s="10">
        <f>47000+7000</f>
        <v>54000</v>
      </c>
      <c r="Z84" s="10">
        <f t="shared" ref="Z84" si="44">SUM(Q84:Y84)</f>
        <v>54000</v>
      </c>
      <c r="AA84" s="10">
        <f t="shared" ref="AA84" si="45">G84-Z84</f>
        <v>178800</v>
      </c>
      <c r="AB84" s="20"/>
    </row>
    <row r="85" spans="1:28" s="21" customFormat="1" ht="37.5" customHeight="1" x14ac:dyDescent="0.2">
      <c r="A85" s="7">
        <v>81</v>
      </c>
      <c r="B85" s="24" t="s">
        <v>301</v>
      </c>
      <c r="C85" s="24" t="s">
        <v>884</v>
      </c>
      <c r="D85" s="25">
        <v>45657</v>
      </c>
      <c r="E85" s="6" t="s">
        <v>886</v>
      </c>
      <c r="F85" s="6" t="s">
        <v>885</v>
      </c>
      <c r="G85" s="10">
        <v>524300</v>
      </c>
      <c r="H85" s="10"/>
      <c r="I85" s="10"/>
      <c r="J85" s="10"/>
      <c r="K85" s="10"/>
      <c r="L85" s="10"/>
      <c r="M85" s="11"/>
      <c r="N85" s="11"/>
      <c r="O85" s="11"/>
      <c r="P85" s="10">
        <f>93774.8+90629+89880</f>
        <v>274283.8</v>
      </c>
      <c r="Q85" s="10"/>
      <c r="R85" s="10"/>
      <c r="S85" s="10"/>
      <c r="T85" s="10"/>
      <c r="U85" s="10"/>
      <c r="V85" s="10"/>
      <c r="W85" s="10"/>
      <c r="X85" s="10"/>
      <c r="Y85" s="10">
        <f>93774.8+90629+89880</f>
        <v>274283.8</v>
      </c>
      <c r="Z85" s="10">
        <f t="shared" ref="Z85" si="46">SUM(Q85:Y85)</f>
        <v>274283.8</v>
      </c>
      <c r="AA85" s="10">
        <f t="shared" ref="AA85" si="47">G85-Z85</f>
        <v>250016.2</v>
      </c>
      <c r="AB85" s="20"/>
    </row>
    <row r="86" spans="1:28" s="21" customFormat="1" ht="17.25" customHeight="1" x14ac:dyDescent="0.2">
      <c r="A86" s="7">
        <v>82</v>
      </c>
      <c r="B86" s="24" t="s">
        <v>899</v>
      </c>
      <c r="C86" s="24" t="s">
        <v>900</v>
      </c>
      <c r="D86" s="25">
        <v>45657</v>
      </c>
      <c r="E86" s="6" t="s">
        <v>704</v>
      </c>
      <c r="F86" s="6" t="s">
        <v>901</v>
      </c>
      <c r="G86" s="10">
        <f>4385-236.55</f>
        <v>4148.45</v>
      </c>
      <c r="H86" s="10"/>
      <c r="I86" s="10"/>
      <c r="J86" s="10"/>
      <c r="K86" s="10">
        <f>4385-236.55</f>
        <v>4148.45</v>
      </c>
      <c r="L86" s="10"/>
      <c r="M86" s="11"/>
      <c r="N86" s="11"/>
      <c r="O86" s="11"/>
      <c r="P86" s="10"/>
      <c r="Q86" s="10"/>
      <c r="R86" s="10"/>
      <c r="S86" s="10"/>
      <c r="T86" s="10">
        <f>4385-236.55</f>
        <v>4148.45</v>
      </c>
      <c r="U86" s="10"/>
      <c r="V86" s="10"/>
      <c r="W86" s="10"/>
      <c r="X86" s="10"/>
      <c r="Y86" s="10"/>
      <c r="Z86" s="10">
        <f t="shared" ref="Z86" si="48">SUM(Q86:Y86)</f>
        <v>4148.45</v>
      </c>
      <c r="AA86" s="10">
        <f t="shared" ref="AA86" si="49">G86-Z86</f>
        <v>0</v>
      </c>
      <c r="AB86" s="20"/>
    </row>
    <row r="87" spans="1:28" s="21" customFormat="1" ht="35.25" customHeight="1" x14ac:dyDescent="0.2">
      <c r="A87" s="7">
        <v>83</v>
      </c>
      <c r="B87" s="24" t="s">
        <v>902</v>
      </c>
      <c r="C87" s="24" t="s">
        <v>422</v>
      </c>
      <c r="D87" s="25">
        <v>45657</v>
      </c>
      <c r="E87" s="6" t="s">
        <v>903</v>
      </c>
      <c r="F87" s="6" t="s">
        <v>239</v>
      </c>
      <c r="G87" s="10">
        <v>2468249.9</v>
      </c>
      <c r="H87" s="10">
        <v>23368.560000000001</v>
      </c>
      <c r="I87" s="10"/>
      <c r="J87" s="10"/>
      <c r="K87" s="10"/>
      <c r="L87" s="10"/>
      <c r="M87" s="11"/>
      <c r="N87" s="11"/>
      <c r="O87" s="11"/>
      <c r="P87" s="10">
        <f>47080+44889.6+19418.4+8988+87850.9+5352+10017.6+130943.1+14812.8+12840+19260+152267+70431+53173.2+60967.32+19746+40726.8+25359+27787.2+37438.64+51542.4+63369.4+1851.6+12314.6+3344.6+3641.6+105239.7</f>
        <v>1130652.4599999997</v>
      </c>
      <c r="Q87" s="10">
        <v>23368.560000000001</v>
      </c>
      <c r="R87" s="10"/>
      <c r="S87" s="10"/>
      <c r="T87" s="10"/>
      <c r="U87" s="10"/>
      <c r="V87" s="10"/>
      <c r="W87" s="10"/>
      <c r="X87" s="10"/>
      <c r="Y87" s="10">
        <f>47080+44889.6+19418.4+8988+87850.9+5352+10017.6+130943.1+14812.8+12840+19260+152267+70431+53173.2+60967.32+19746+40726.8+25359+27787.2+37438.64+51542.4+63369.4+1851.6+12314.6+3344.6+3641.6+105239.7</f>
        <v>1130652.4599999997</v>
      </c>
      <c r="Z87" s="10">
        <f t="shared" ref="Z87" si="50">SUM(Q87:Y87)</f>
        <v>1154021.0199999998</v>
      </c>
      <c r="AA87" s="10">
        <f t="shared" ref="AA87" si="51">G87-Z87</f>
        <v>1314228.8800000001</v>
      </c>
      <c r="AB87" s="20"/>
    </row>
    <row r="88" spans="1:28" s="21" customFormat="1" ht="17.25" customHeight="1" x14ac:dyDescent="0.2">
      <c r="A88" s="7">
        <v>84</v>
      </c>
      <c r="B88" s="24" t="s">
        <v>303</v>
      </c>
      <c r="C88" s="24" t="s">
        <v>904</v>
      </c>
      <c r="D88" s="25">
        <v>45657</v>
      </c>
      <c r="E88" s="6" t="s">
        <v>704</v>
      </c>
      <c r="F88" s="6" t="s">
        <v>905</v>
      </c>
      <c r="G88" s="10">
        <v>9950</v>
      </c>
      <c r="H88" s="10"/>
      <c r="I88" s="10"/>
      <c r="J88" s="10"/>
      <c r="K88" s="10">
        <v>9950</v>
      </c>
      <c r="L88" s="10"/>
      <c r="M88" s="11"/>
      <c r="N88" s="11"/>
      <c r="O88" s="11"/>
      <c r="P88" s="10"/>
      <c r="Q88" s="10"/>
      <c r="R88" s="10"/>
      <c r="S88" s="10"/>
      <c r="T88" s="10">
        <v>9950</v>
      </c>
      <c r="U88" s="10"/>
      <c r="V88" s="10"/>
      <c r="W88" s="10"/>
      <c r="X88" s="10"/>
      <c r="Y88" s="10"/>
      <c r="Z88" s="10">
        <f t="shared" ref="Z88" si="52">SUM(Q88:Y88)</f>
        <v>9950</v>
      </c>
      <c r="AA88" s="10">
        <f t="shared" ref="AA88" si="53">G88-Z88</f>
        <v>0</v>
      </c>
      <c r="AB88" s="20"/>
    </row>
    <row r="89" spans="1:28" s="21" customFormat="1" ht="26.25" customHeight="1" x14ac:dyDescent="0.2">
      <c r="A89" s="7">
        <v>85</v>
      </c>
      <c r="B89" s="24" t="s">
        <v>906</v>
      </c>
      <c r="C89" s="24" t="s">
        <v>907</v>
      </c>
      <c r="D89" s="25">
        <v>45657</v>
      </c>
      <c r="E89" s="6" t="s">
        <v>984</v>
      </c>
      <c r="F89" s="6" t="s">
        <v>502</v>
      </c>
      <c r="G89" s="10">
        <v>283550</v>
      </c>
      <c r="H89" s="10"/>
      <c r="I89" s="10"/>
      <c r="J89" s="10"/>
      <c r="K89" s="10"/>
      <c r="L89" s="10"/>
      <c r="M89" s="11"/>
      <c r="N89" s="11"/>
      <c r="O89" s="11"/>
      <c r="P89" s="10">
        <f>28355+28355+28355+2835.5+17013</f>
        <v>104913.5</v>
      </c>
      <c r="Q89" s="10"/>
      <c r="R89" s="10"/>
      <c r="S89" s="10"/>
      <c r="T89" s="10"/>
      <c r="U89" s="10"/>
      <c r="V89" s="10"/>
      <c r="W89" s="10"/>
      <c r="X89" s="10"/>
      <c r="Y89" s="10">
        <f>28355+28355+28355+2835.5+17013</f>
        <v>104913.5</v>
      </c>
      <c r="Z89" s="10">
        <f t="shared" ref="Z89" si="54">SUM(Q89:Y89)</f>
        <v>104913.5</v>
      </c>
      <c r="AA89" s="10">
        <f t="shared" ref="AA89" si="55">G89-Z89</f>
        <v>178636.5</v>
      </c>
      <c r="AB89" s="20"/>
    </row>
    <row r="90" spans="1:28" s="21" customFormat="1" ht="16.5" customHeight="1" x14ac:dyDescent="0.2">
      <c r="A90" s="7">
        <v>86</v>
      </c>
      <c r="B90" s="24" t="s">
        <v>909</v>
      </c>
      <c r="C90" s="24" t="s">
        <v>898</v>
      </c>
      <c r="D90" s="25">
        <v>45657</v>
      </c>
      <c r="E90" s="6" t="s">
        <v>704</v>
      </c>
      <c r="F90" s="6" t="s">
        <v>910</v>
      </c>
      <c r="G90" s="10">
        <v>381.4</v>
      </c>
      <c r="H90" s="10"/>
      <c r="I90" s="10"/>
      <c r="J90" s="10"/>
      <c r="K90" s="10"/>
      <c r="L90" s="10"/>
      <c r="M90" s="11"/>
      <c r="N90" s="11"/>
      <c r="O90" s="11"/>
      <c r="P90" s="10">
        <v>381.4</v>
      </c>
      <c r="Q90" s="10"/>
      <c r="R90" s="10"/>
      <c r="S90" s="10"/>
      <c r="T90" s="10"/>
      <c r="U90" s="10"/>
      <c r="V90" s="10"/>
      <c r="W90" s="10"/>
      <c r="X90" s="10"/>
      <c r="Y90" s="10">
        <v>381.4</v>
      </c>
      <c r="Z90" s="10">
        <f t="shared" ref="Z90" si="56">SUM(Q90:Y90)</f>
        <v>381.4</v>
      </c>
      <c r="AA90" s="10">
        <f t="shared" ref="AA90" si="57">G90-Z90</f>
        <v>0</v>
      </c>
      <c r="AB90" s="20"/>
    </row>
    <row r="91" spans="1:28" s="21" customFormat="1" ht="16.5" customHeight="1" x14ac:dyDescent="0.2">
      <c r="A91" s="7">
        <v>87</v>
      </c>
      <c r="B91" s="24" t="s">
        <v>912</v>
      </c>
      <c r="C91" s="24" t="s">
        <v>724</v>
      </c>
      <c r="D91" s="25">
        <v>45657</v>
      </c>
      <c r="E91" s="6" t="s">
        <v>704</v>
      </c>
      <c r="F91" s="6" t="s">
        <v>913</v>
      </c>
      <c r="G91" s="10">
        <v>5884.4</v>
      </c>
      <c r="H91" s="10"/>
      <c r="I91" s="10"/>
      <c r="J91" s="10"/>
      <c r="K91" s="10">
        <v>5884.4</v>
      </c>
      <c r="L91" s="10"/>
      <c r="M91" s="11"/>
      <c r="N91" s="11"/>
      <c r="O91" s="11"/>
      <c r="P91" s="10"/>
      <c r="Q91" s="10"/>
      <c r="R91" s="10"/>
      <c r="S91" s="10"/>
      <c r="T91" s="10">
        <v>5884.4</v>
      </c>
      <c r="U91" s="10"/>
      <c r="V91" s="10"/>
      <c r="W91" s="10"/>
      <c r="X91" s="10"/>
      <c r="Y91" s="10"/>
      <c r="Z91" s="10">
        <f t="shared" ref="Z91" si="58">SUM(Q91:Y91)</f>
        <v>5884.4</v>
      </c>
      <c r="AA91" s="10">
        <f t="shared" ref="AA91" si="59">G91-Z91</f>
        <v>0</v>
      </c>
      <c r="AB91" s="20"/>
    </row>
    <row r="92" spans="1:28" s="21" customFormat="1" ht="25.5" customHeight="1" x14ac:dyDescent="0.2">
      <c r="A92" s="7">
        <v>88</v>
      </c>
      <c r="B92" s="24" t="s">
        <v>914</v>
      </c>
      <c r="C92" s="24" t="s">
        <v>661</v>
      </c>
      <c r="D92" s="25">
        <v>45657</v>
      </c>
      <c r="E92" s="6" t="s">
        <v>915</v>
      </c>
      <c r="F92" s="6" t="s">
        <v>245</v>
      </c>
      <c r="G92" s="10">
        <v>1314960</v>
      </c>
      <c r="H92" s="10"/>
      <c r="I92" s="10"/>
      <c r="J92" s="10"/>
      <c r="K92" s="10"/>
      <c r="L92" s="10"/>
      <c r="M92" s="11"/>
      <c r="N92" s="11"/>
      <c r="O92" s="11"/>
      <c r="P92" s="10">
        <f>438320+438320</f>
        <v>876640</v>
      </c>
      <c r="Q92" s="10"/>
      <c r="R92" s="10"/>
      <c r="S92" s="10"/>
      <c r="T92" s="10"/>
      <c r="U92" s="10"/>
      <c r="V92" s="10"/>
      <c r="W92" s="10"/>
      <c r="X92" s="10"/>
      <c r="Y92" s="10">
        <f>438320+438320</f>
        <v>876640</v>
      </c>
      <c r="Z92" s="10">
        <f t="shared" ref="Z92" si="60">SUM(Q92:Y92)</f>
        <v>876640</v>
      </c>
      <c r="AA92" s="10">
        <f t="shared" ref="AA92" si="61">G92-Z92</f>
        <v>438320</v>
      </c>
      <c r="AB92" s="20"/>
    </row>
    <row r="93" spans="1:28" s="21" customFormat="1" ht="18.75" customHeight="1" x14ac:dyDescent="0.2">
      <c r="A93" s="7">
        <v>89</v>
      </c>
      <c r="B93" s="24" t="s">
        <v>916</v>
      </c>
      <c r="C93" s="24" t="s">
        <v>493</v>
      </c>
      <c r="D93" s="25">
        <v>45657</v>
      </c>
      <c r="E93" s="6" t="s">
        <v>917</v>
      </c>
      <c r="F93" s="6" t="s">
        <v>245</v>
      </c>
      <c r="G93" s="49">
        <f>24350-0.01</f>
        <v>24349.99</v>
      </c>
      <c r="H93" s="10"/>
      <c r="I93" s="10"/>
      <c r="J93" s="10"/>
      <c r="K93" s="10"/>
      <c r="L93" s="10"/>
      <c r="M93" s="11"/>
      <c r="N93" s="11"/>
      <c r="O93" s="11"/>
      <c r="P93" s="10">
        <f>23507.9+842.09</f>
        <v>24349.99</v>
      </c>
      <c r="Q93" s="10"/>
      <c r="R93" s="10"/>
      <c r="S93" s="10"/>
      <c r="T93" s="10"/>
      <c r="U93" s="10"/>
      <c r="V93" s="10"/>
      <c r="W93" s="10"/>
      <c r="X93" s="10"/>
      <c r="Y93" s="10">
        <f>23507.9+842.09</f>
        <v>24349.99</v>
      </c>
      <c r="Z93" s="10">
        <f t="shared" ref="Z93" si="62">SUM(Q93:Y93)</f>
        <v>24349.99</v>
      </c>
      <c r="AA93" s="49">
        <f t="shared" ref="AA93" si="63">G93-Z93</f>
        <v>0</v>
      </c>
      <c r="AB93" s="20"/>
    </row>
    <row r="94" spans="1:28" s="21" customFormat="1" ht="36.75" customHeight="1" x14ac:dyDescent="0.2">
      <c r="A94" s="7">
        <v>90</v>
      </c>
      <c r="B94" s="24" t="s">
        <v>918</v>
      </c>
      <c r="C94" s="24" t="s">
        <v>254</v>
      </c>
      <c r="D94" s="25">
        <v>45657</v>
      </c>
      <c r="E94" s="6" t="s">
        <v>919</v>
      </c>
      <c r="F94" s="6" t="s">
        <v>920</v>
      </c>
      <c r="G94" s="10">
        <v>97000</v>
      </c>
      <c r="H94" s="10"/>
      <c r="I94" s="10"/>
      <c r="J94" s="10"/>
      <c r="K94" s="10"/>
      <c r="L94" s="10"/>
      <c r="M94" s="11"/>
      <c r="N94" s="11"/>
      <c r="O94" s="11"/>
      <c r="P94" s="10">
        <f>1935+1677.12+2266.44+172.62+3628.8+2325.06+2387.4+2304.6+2033.34+2736.48+1793.04</f>
        <v>23259.899999999998</v>
      </c>
      <c r="Q94" s="10"/>
      <c r="R94" s="10"/>
      <c r="S94" s="10"/>
      <c r="T94" s="10"/>
      <c r="U94" s="10"/>
      <c r="V94" s="10"/>
      <c r="W94" s="10"/>
      <c r="X94" s="10"/>
      <c r="Y94" s="10">
        <f>1935+1677.12+2266.44+172.62+3628.8+2325.06+2387.4+2304.6+2033.34+2736.48+1793.04</f>
        <v>23259.899999999998</v>
      </c>
      <c r="Z94" s="10">
        <f t="shared" ref="Z94" si="64">SUM(Q94:Y94)</f>
        <v>23259.899999999998</v>
      </c>
      <c r="AA94" s="10">
        <f t="shared" ref="AA94" si="65">G94-Z94</f>
        <v>73740.100000000006</v>
      </c>
      <c r="AB94" s="20"/>
    </row>
    <row r="95" spans="1:28" s="21" customFormat="1" ht="15.75" customHeight="1" x14ac:dyDescent="0.2">
      <c r="A95" s="7">
        <v>91</v>
      </c>
      <c r="B95" s="24" t="s">
        <v>921</v>
      </c>
      <c r="C95" s="24" t="s">
        <v>907</v>
      </c>
      <c r="D95" s="25">
        <v>45657</v>
      </c>
      <c r="E95" s="6" t="s">
        <v>908</v>
      </c>
      <c r="F95" s="6" t="s">
        <v>245</v>
      </c>
      <c r="G95" s="10">
        <v>952621</v>
      </c>
      <c r="H95" s="10"/>
      <c r="I95" s="10"/>
      <c r="J95" s="10"/>
      <c r="K95" s="10"/>
      <c r="L95" s="10"/>
      <c r="M95" s="11"/>
      <c r="N95" s="11"/>
      <c r="O95" s="11"/>
      <c r="P95" s="10">
        <f>51394.24+7704+10379+107171.2+56103.52+122607.02+14374.38+3852+12377.76+107623.6</f>
        <v>493586.72</v>
      </c>
      <c r="Q95" s="10"/>
      <c r="R95" s="10"/>
      <c r="S95" s="10"/>
      <c r="T95" s="10"/>
      <c r="U95" s="10"/>
      <c r="V95" s="10"/>
      <c r="W95" s="10"/>
      <c r="X95" s="10"/>
      <c r="Y95" s="10">
        <f>51394.24+7704+10379+107171.2+56103.52+122607.02+14374.38+3852+12377.76+107623.6</f>
        <v>493586.72</v>
      </c>
      <c r="Z95" s="10">
        <f t="shared" ref="Z95" si="66">SUM(Q95:Y95)</f>
        <v>493586.72</v>
      </c>
      <c r="AA95" s="10">
        <f t="shared" ref="AA95" si="67">G95-Z95</f>
        <v>459034.28</v>
      </c>
      <c r="AB95" s="20"/>
    </row>
    <row r="96" spans="1:28" s="21" customFormat="1" ht="24" customHeight="1" x14ac:dyDescent="0.2">
      <c r="A96" s="7">
        <v>92</v>
      </c>
      <c r="B96" s="24" t="s">
        <v>922</v>
      </c>
      <c r="C96" s="24" t="s">
        <v>923</v>
      </c>
      <c r="D96" s="25">
        <v>45657</v>
      </c>
      <c r="E96" s="17" t="s">
        <v>924</v>
      </c>
      <c r="F96" s="6" t="s">
        <v>239</v>
      </c>
      <c r="G96" s="10">
        <v>4789105.58</v>
      </c>
      <c r="H96" s="10"/>
      <c r="I96" s="10"/>
      <c r="J96" s="10"/>
      <c r="K96" s="10"/>
      <c r="L96" s="10"/>
      <c r="M96" s="11"/>
      <c r="N96" s="11"/>
      <c r="O96" s="11"/>
      <c r="P96" s="10">
        <f>833.6+15319.15+1391.4+459475.5+46627.5+39229.3+7184.6+26413.5+12174.5+4291+459475.5+2972+9172.2+11888+612634+12504.5+34271.5</f>
        <v>1755857.75</v>
      </c>
      <c r="Q96" s="10"/>
      <c r="R96" s="10"/>
      <c r="S96" s="10"/>
      <c r="T96" s="10"/>
      <c r="U96" s="10"/>
      <c r="V96" s="10"/>
      <c r="W96" s="10"/>
      <c r="X96" s="10"/>
      <c r="Y96" s="10">
        <f>833.6+15319.15+1391.4+459475.5+46627.5+39229.3+7184.6+26413.5+12174.5+4291+459475.5+2972+9172.2+11888+612634+12504.5+34271.5</f>
        <v>1755857.75</v>
      </c>
      <c r="Z96" s="10">
        <f t="shared" ref="Z96" si="68">SUM(Q96:Y96)</f>
        <v>1755857.75</v>
      </c>
      <c r="AA96" s="10">
        <f t="shared" ref="AA96" si="69">G96-Z96</f>
        <v>3033247.83</v>
      </c>
      <c r="AB96" s="20"/>
    </row>
    <row r="97" spans="1:28" s="21" customFormat="1" ht="18" customHeight="1" x14ac:dyDescent="0.2">
      <c r="A97" s="7">
        <v>93</v>
      </c>
      <c r="B97" s="24" t="s">
        <v>925</v>
      </c>
      <c r="C97" s="24" t="s">
        <v>767</v>
      </c>
      <c r="D97" s="25">
        <v>45657</v>
      </c>
      <c r="E97" s="17" t="s">
        <v>926</v>
      </c>
      <c r="F97" s="6" t="s">
        <v>461</v>
      </c>
      <c r="G97" s="10">
        <v>186645</v>
      </c>
      <c r="H97" s="10">
        <v>1501.21</v>
      </c>
      <c r="I97" s="10"/>
      <c r="J97" s="10"/>
      <c r="K97" s="10"/>
      <c r="L97" s="10"/>
      <c r="M97" s="11"/>
      <c r="N97" s="11"/>
      <c r="O97" s="11"/>
      <c r="P97" s="10">
        <f>10000+7445+943.79+12975+21075+20860</f>
        <v>73298.790000000008</v>
      </c>
      <c r="Q97" s="10">
        <v>1501.21</v>
      </c>
      <c r="R97" s="10"/>
      <c r="S97" s="10"/>
      <c r="T97" s="10"/>
      <c r="U97" s="10"/>
      <c r="V97" s="10"/>
      <c r="W97" s="10"/>
      <c r="X97" s="10"/>
      <c r="Y97" s="10">
        <f>10000+7445+943.79+12975+21075+20860</f>
        <v>73298.790000000008</v>
      </c>
      <c r="Z97" s="10">
        <f t="shared" ref="Z97" si="70">SUM(Q97:Y97)</f>
        <v>74800.000000000015</v>
      </c>
      <c r="AA97" s="10">
        <f t="shared" ref="AA97" si="71">G97-Z97</f>
        <v>111844.99999999999</v>
      </c>
      <c r="AB97" s="20"/>
    </row>
    <row r="98" spans="1:28" s="21" customFormat="1" ht="27.75" customHeight="1" x14ac:dyDescent="0.2">
      <c r="A98" s="7">
        <v>94</v>
      </c>
      <c r="B98" s="24" t="s">
        <v>930</v>
      </c>
      <c r="C98" s="24" t="s">
        <v>931</v>
      </c>
      <c r="D98" s="25">
        <v>45657</v>
      </c>
      <c r="E98" s="17" t="s">
        <v>932</v>
      </c>
      <c r="F98" s="6" t="s">
        <v>933</v>
      </c>
      <c r="G98" s="10">
        <v>225770</v>
      </c>
      <c r="H98" s="10"/>
      <c r="I98" s="10"/>
      <c r="J98" s="10"/>
      <c r="K98" s="10"/>
      <c r="L98" s="10"/>
      <c r="M98" s="11"/>
      <c r="N98" s="11"/>
      <c r="O98" s="11"/>
      <c r="P98" s="10">
        <f>17355.4+13417.8+11288.5+4654.5+7383+4494+4654.5+7757.5+4280+17548</f>
        <v>92833.2</v>
      </c>
      <c r="Q98" s="10"/>
      <c r="R98" s="10"/>
      <c r="S98" s="10"/>
      <c r="T98" s="10"/>
      <c r="U98" s="10"/>
      <c r="V98" s="10"/>
      <c r="W98" s="10"/>
      <c r="X98" s="10"/>
      <c r="Y98" s="10">
        <f>17355.4+13417.8+11288.5+4654.5+7383+4494+4654.5+7757.5+4280+17548</f>
        <v>92833.2</v>
      </c>
      <c r="Z98" s="10">
        <f t="shared" ref="Z98" si="72">SUM(Q98:Y98)</f>
        <v>92833.2</v>
      </c>
      <c r="AA98" s="10">
        <f t="shared" ref="AA98" si="73">G98-Z98</f>
        <v>132936.79999999999</v>
      </c>
      <c r="AB98" s="20"/>
    </row>
    <row r="99" spans="1:28" s="21" customFormat="1" ht="19.5" customHeight="1" x14ac:dyDescent="0.2">
      <c r="A99" s="7">
        <v>95</v>
      </c>
      <c r="B99" s="24" t="s">
        <v>945</v>
      </c>
      <c r="C99" s="24" t="s">
        <v>861</v>
      </c>
      <c r="D99" s="25">
        <v>45657</v>
      </c>
      <c r="E99" s="17" t="s">
        <v>704</v>
      </c>
      <c r="F99" s="6" t="s">
        <v>946</v>
      </c>
      <c r="G99" s="10">
        <v>18919.400000000001</v>
      </c>
      <c r="H99" s="10"/>
      <c r="I99" s="10">
        <v>18919.400000000001</v>
      </c>
      <c r="J99" s="10"/>
      <c r="K99" s="10"/>
      <c r="L99" s="10"/>
      <c r="M99" s="11"/>
      <c r="N99" s="11"/>
      <c r="O99" s="11"/>
      <c r="P99" s="10"/>
      <c r="Q99" s="10"/>
      <c r="R99" s="10">
        <v>18919.400000000001</v>
      </c>
      <c r="S99" s="10"/>
      <c r="T99" s="10"/>
      <c r="U99" s="10"/>
      <c r="V99" s="10"/>
      <c r="W99" s="10"/>
      <c r="X99" s="10"/>
      <c r="Y99" s="10"/>
      <c r="Z99" s="10">
        <f t="shared" ref="Z99" si="74">SUM(Q99:Y99)</f>
        <v>18919.400000000001</v>
      </c>
      <c r="AA99" s="10">
        <f t="shared" ref="AA99" si="75">G99-Z99</f>
        <v>0</v>
      </c>
      <c r="AB99" s="20"/>
    </row>
    <row r="100" spans="1:28" s="21" customFormat="1" ht="19.5" customHeight="1" x14ac:dyDescent="0.2">
      <c r="A100" s="7">
        <v>96</v>
      </c>
      <c r="B100" s="24" t="s">
        <v>966</v>
      </c>
      <c r="C100" s="24" t="s">
        <v>967</v>
      </c>
      <c r="D100" s="25">
        <v>45657</v>
      </c>
      <c r="E100" s="17" t="s">
        <v>704</v>
      </c>
      <c r="F100" s="6" t="s">
        <v>239</v>
      </c>
      <c r="G100" s="10">
        <v>2947.3</v>
      </c>
      <c r="H100" s="10"/>
      <c r="I100" s="10"/>
      <c r="J100" s="10"/>
      <c r="K100" s="10">
        <v>2947.3</v>
      </c>
      <c r="L100" s="10"/>
      <c r="M100" s="11"/>
      <c r="N100" s="11"/>
      <c r="O100" s="11"/>
      <c r="P100" s="10"/>
      <c r="Q100" s="10"/>
      <c r="R100" s="10"/>
      <c r="S100" s="10"/>
      <c r="T100" s="10">
        <v>2947.3</v>
      </c>
      <c r="U100" s="10"/>
      <c r="V100" s="10"/>
      <c r="W100" s="10"/>
      <c r="X100" s="10"/>
      <c r="Y100" s="10"/>
      <c r="Z100" s="10">
        <f t="shared" ref="Z100" si="76">SUM(Q100:Y100)</f>
        <v>2947.3</v>
      </c>
      <c r="AA100" s="10">
        <f t="shared" ref="AA100" si="77">G100-Z100</f>
        <v>0</v>
      </c>
      <c r="AB100" s="20"/>
    </row>
    <row r="101" spans="1:28" s="21" customFormat="1" ht="19.5" customHeight="1" x14ac:dyDescent="0.2">
      <c r="A101" s="7">
        <v>97</v>
      </c>
      <c r="B101" s="24" t="s">
        <v>968</v>
      </c>
      <c r="C101" s="24" t="s">
        <v>969</v>
      </c>
      <c r="D101" s="25">
        <v>45657</v>
      </c>
      <c r="E101" s="17" t="s">
        <v>970</v>
      </c>
      <c r="F101" s="6" t="s">
        <v>971</v>
      </c>
      <c r="G101" s="10">
        <v>8280</v>
      </c>
      <c r="H101" s="10"/>
      <c r="I101" s="10"/>
      <c r="J101" s="10"/>
      <c r="K101" s="10"/>
      <c r="L101" s="10">
        <v>8280</v>
      </c>
      <c r="M101" s="11"/>
      <c r="N101" s="11"/>
      <c r="O101" s="11"/>
      <c r="P101" s="10"/>
      <c r="Q101" s="10"/>
      <c r="R101" s="10"/>
      <c r="S101" s="10"/>
      <c r="T101" s="10"/>
      <c r="U101" s="10">
        <v>8280</v>
      </c>
      <c r="V101" s="10"/>
      <c r="W101" s="10"/>
      <c r="X101" s="10"/>
      <c r="Y101" s="10"/>
      <c r="Z101" s="10">
        <f t="shared" ref="Z101" si="78">SUM(Q101:Y101)</f>
        <v>8280</v>
      </c>
      <c r="AA101" s="10">
        <f t="shared" ref="AA101" si="79">G101-Z101</f>
        <v>0</v>
      </c>
      <c r="AB101" s="20"/>
    </row>
    <row r="102" spans="1:28" s="21" customFormat="1" ht="19.5" customHeight="1" x14ac:dyDescent="0.2">
      <c r="A102" s="7">
        <v>98</v>
      </c>
      <c r="B102" s="24" t="s">
        <v>973</v>
      </c>
      <c r="C102" s="24" t="s">
        <v>967</v>
      </c>
      <c r="D102" s="25">
        <v>45657</v>
      </c>
      <c r="E102" s="17" t="s">
        <v>704</v>
      </c>
      <c r="F102" s="6" t="s">
        <v>974</v>
      </c>
      <c r="G102" s="10">
        <v>5649.6</v>
      </c>
      <c r="H102" s="10"/>
      <c r="I102" s="10"/>
      <c r="J102" s="10"/>
      <c r="K102" s="10"/>
      <c r="L102" s="10">
        <v>5649.6</v>
      </c>
      <c r="M102" s="11"/>
      <c r="N102" s="11"/>
      <c r="O102" s="11"/>
      <c r="P102" s="10"/>
      <c r="Q102" s="10"/>
      <c r="R102" s="10"/>
      <c r="S102" s="10"/>
      <c r="T102" s="10"/>
      <c r="U102" s="10">
        <v>5649.6</v>
      </c>
      <c r="V102" s="10"/>
      <c r="W102" s="10"/>
      <c r="X102" s="10"/>
      <c r="Y102" s="10"/>
      <c r="Z102" s="10">
        <f t="shared" ref="Z102" si="80">SUM(Q102:Y102)</f>
        <v>5649.6</v>
      </c>
      <c r="AA102" s="10">
        <f t="shared" ref="AA102" si="81">G102-Z102</f>
        <v>0</v>
      </c>
      <c r="AB102" s="20"/>
    </row>
    <row r="103" spans="1:28" s="21" customFormat="1" ht="37.5" customHeight="1" x14ac:dyDescent="0.2">
      <c r="A103" s="7">
        <v>99</v>
      </c>
      <c r="B103" s="24" t="s">
        <v>989</v>
      </c>
      <c r="C103" s="24" t="s">
        <v>861</v>
      </c>
      <c r="D103" s="25">
        <v>45657</v>
      </c>
      <c r="E103" s="17" t="s">
        <v>990</v>
      </c>
      <c r="F103" s="6" t="s">
        <v>570</v>
      </c>
      <c r="G103" s="10">
        <v>2062250</v>
      </c>
      <c r="H103" s="10"/>
      <c r="I103" s="10"/>
      <c r="J103" s="10"/>
      <c r="K103" s="10"/>
      <c r="L103" s="10"/>
      <c r="M103" s="11"/>
      <c r="N103" s="11"/>
      <c r="O103" s="11"/>
      <c r="P103" s="10">
        <f>133275+212175+158800</f>
        <v>504250</v>
      </c>
      <c r="Q103" s="10"/>
      <c r="R103" s="10"/>
      <c r="S103" s="10"/>
      <c r="T103" s="10"/>
      <c r="U103" s="10"/>
      <c r="V103" s="10"/>
      <c r="W103" s="10"/>
      <c r="X103" s="10"/>
      <c r="Y103" s="10">
        <f>133275+212175+158800</f>
        <v>504250</v>
      </c>
      <c r="Z103" s="10">
        <f t="shared" ref="Z103" si="82">SUM(Q103:Y103)</f>
        <v>504250</v>
      </c>
      <c r="AA103" s="10">
        <f t="shared" ref="AA103" si="83">G103-Z103</f>
        <v>1558000</v>
      </c>
      <c r="AB103" s="20"/>
    </row>
    <row r="104" spans="1:28" s="21" customFormat="1" ht="18" customHeight="1" x14ac:dyDescent="0.2">
      <c r="A104" s="7">
        <v>100</v>
      </c>
      <c r="B104" s="12" t="s">
        <v>991</v>
      </c>
      <c r="C104" s="25">
        <v>45387</v>
      </c>
      <c r="D104" s="13">
        <v>45657</v>
      </c>
      <c r="E104" s="6" t="s">
        <v>468</v>
      </c>
      <c r="F104" s="5" t="s">
        <v>992</v>
      </c>
      <c r="G104" s="10">
        <v>8760</v>
      </c>
      <c r="H104" s="10"/>
      <c r="I104" s="10"/>
      <c r="J104" s="10"/>
      <c r="K104" s="10"/>
      <c r="L104" s="10"/>
      <c r="M104" s="11"/>
      <c r="N104" s="11"/>
      <c r="O104" s="11"/>
      <c r="P104" s="10">
        <v>8760</v>
      </c>
      <c r="Q104" s="10"/>
      <c r="R104" s="10"/>
      <c r="S104" s="10"/>
      <c r="T104" s="10"/>
      <c r="U104" s="10"/>
      <c r="V104" s="10"/>
      <c r="W104" s="10"/>
      <c r="X104" s="10"/>
      <c r="Y104" s="10">
        <v>8760</v>
      </c>
      <c r="Z104" s="10">
        <f t="shared" ref="Z104" si="84">SUM(Q104:Y104)</f>
        <v>8760</v>
      </c>
      <c r="AA104" s="10">
        <f t="shared" ref="AA104" si="85">G104-Z104</f>
        <v>0</v>
      </c>
      <c r="AB104" s="20"/>
    </row>
    <row r="105" spans="1:28" s="21" customFormat="1" ht="27" customHeight="1" x14ac:dyDescent="0.2">
      <c r="A105" s="7">
        <v>101</v>
      </c>
      <c r="B105" s="12" t="s">
        <v>993</v>
      </c>
      <c r="C105" s="25">
        <v>45383</v>
      </c>
      <c r="D105" s="13">
        <v>45657</v>
      </c>
      <c r="E105" s="6" t="s">
        <v>468</v>
      </c>
      <c r="F105" s="5" t="s">
        <v>999</v>
      </c>
      <c r="G105" s="10">
        <v>29480</v>
      </c>
      <c r="H105" s="10"/>
      <c r="I105" s="10"/>
      <c r="J105" s="10"/>
      <c r="K105" s="10"/>
      <c r="L105" s="10"/>
      <c r="M105" s="11"/>
      <c r="N105" s="11"/>
      <c r="O105" s="11"/>
      <c r="P105" s="10">
        <v>29480</v>
      </c>
      <c r="Q105" s="10"/>
      <c r="R105" s="10"/>
      <c r="S105" s="10"/>
      <c r="T105" s="10"/>
      <c r="U105" s="10"/>
      <c r="V105" s="10"/>
      <c r="W105" s="10"/>
      <c r="X105" s="10"/>
      <c r="Y105" s="10">
        <v>29480</v>
      </c>
      <c r="Z105" s="10">
        <f t="shared" ref="Z105" si="86">SUM(Q105:Y105)</f>
        <v>29480</v>
      </c>
      <c r="AA105" s="10">
        <f t="shared" ref="AA105" si="87">G105-Z105</f>
        <v>0</v>
      </c>
      <c r="AB105" s="20"/>
    </row>
    <row r="106" spans="1:28" s="21" customFormat="1" ht="27" customHeight="1" x14ac:dyDescent="0.2">
      <c r="A106" s="7">
        <v>102</v>
      </c>
      <c r="B106" s="12" t="s">
        <v>1007</v>
      </c>
      <c r="C106" s="25">
        <v>45393</v>
      </c>
      <c r="D106" s="13">
        <v>45657</v>
      </c>
      <c r="E106" s="6" t="s">
        <v>1008</v>
      </c>
      <c r="F106" s="5" t="s">
        <v>933</v>
      </c>
      <c r="G106" s="10">
        <v>467000</v>
      </c>
      <c r="H106" s="10"/>
      <c r="I106" s="10"/>
      <c r="J106" s="10"/>
      <c r="K106" s="10"/>
      <c r="L106" s="10"/>
      <c r="M106" s="11"/>
      <c r="N106" s="11"/>
      <c r="O106" s="11"/>
      <c r="P106" s="10">
        <f>40125+86150</f>
        <v>126275</v>
      </c>
      <c r="Q106" s="10"/>
      <c r="R106" s="10"/>
      <c r="S106" s="10"/>
      <c r="T106" s="10"/>
      <c r="U106" s="10"/>
      <c r="V106" s="10"/>
      <c r="W106" s="10"/>
      <c r="X106" s="10"/>
      <c r="Y106" s="10">
        <f>40125+86150</f>
        <v>126275</v>
      </c>
      <c r="Z106" s="10">
        <f t="shared" ref="Z106" si="88">SUM(Q106:Y106)</f>
        <v>126275</v>
      </c>
      <c r="AA106" s="10">
        <f t="shared" ref="AA106" si="89">G106-Z106</f>
        <v>340725</v>
      </c>
      <c r="AB106" s="20"/>
    </row>
    <row r="107" spans="1:28" s="21" customFormat="1" ht="27" customHeight="1" x14ac:dyDescent="0.2">
      <c r="A107" s="7">
        <v>103</v>
      </c>
      <c r="B107" s="12" t="s">
        <v>1009</v>
      </c>
      <c r="C107" s="25">
        <v>45390</v>
      </c>
      <c r="D107" s="13">
        <v>45657</v>
      </c>
      <c r="E107" s="6" t="s">
        <v>1010</v>
      </c>
      <c r="F107" s="5" t="s">
        <v>245</v>
      </c>
      <c r="G107" s="10">
        <v>1432000</v>
      </c>
      <c r="H107" s="10"/>
      <c r="I107" s="10"/>
      <c r="J107" s="10"/>
      <c r="K107" s="10"/>
      <c r="L107" s="10"/>
      <c r="M107" s="11"/>
      <c r="N107" s="11"/>
      <c r="O107" s="11"/>
      <c r="P107" s="10">
        <f>72700+69880</f>
        <v>142580</v>
      </c>
      <c r="Q107" s="10"/>
      <c r="R107" s="10"/>
      <c r="S107" s="10"/>
      <c r="T107" s="10"/>
      <c r="U107" s="10"/>
      <c r="V107" s="10"/>
      <c r="W107" s="10"/>
      <c r="X107" s="10"/>
      <c r="Y107" s="10">
        <f>72700+69880</f>
        <v>142580</v>
      </c>
      <c r="Z107" s="10">
        <f t="shared" ref="Z107" si="90">SUM(Q107:Y107)</f>
        <v>142580</v>
      </c>
      <c r="AA107" s="10">
        <f t="shared" ref="AA107" si="91">G107-Z107</f>
        <v>1289420</v>
      </c>
      <c r="AB107" s="20"/>
    </row>
    <row r="108" spans="1:28" s="21" customFormat="1" ht="38.25" customHeight="1" x14ac:dyDescent="0.2">
      <c r="A108" s="7">
        <v>104</v>
      </c>
      <c r="B108" s="12" t="s">
        <v>1024</v>
      </c>
      <c r="C108" s="25">
        <v>45338</v>
      </c>
      <c r="D108" s="13">
        <v>45657</v>
      </c>
      <c r="E108" s="6" t="s">
        <v>1025</v>
      </c>
      <c r="F108" s="5" t="s">
        <v>245</v>
      </c>
      <c r="G108" s="10">
        <v>10342.799999999999</v>
      </c>
      <c r="H108" s="10"/>
      <c r="I108" s="10">
        <v>10342.799999999999</v>
      </c>
      <c r="J108" s="10"/>
      <c r="K108" s="10"/>
      <c r="L108" s="10"/>
      <c r="M108" s="11"/>
      <c r="N108" s="11"/>
      <c r="O108" s="11"/>
      <c r="P108" s="10"/>
      <c r="Q108" s="10"/>
      <c r="R108" s="10">
        <v>10342.799999999999</v>
      </c>
      <c r="S108" s="10"/>
      <c r="T108" s="10"/>
      <c r="U108" s="10"/>
      <c r="V108" s="10"/>
      <c r="W108" s="10"/>
      <c r="X108" s="10"/>
      <c r="Y108" s="10"/>
      <c r="Z108" s="10">
        <f t="shared" ref="Z108" si="92">SUM(Q108:Y108)</f>
        <v>10342.799999999999</v>
      </c>
      <c r="AA108" s="10">
        <f t="shared" ref="AA108" si="93">G108-Z108</f>
        <v>0</v>
      </c>
      <c r="AB108" s="20"/>
    </row>
    <row r="109" spans="1:28" s="21" customFormat="1" ht="26.25" customHeight="1" x14ac:dyDescent="0.2">
      <c r="A109" s="7">
        <v>105</v>
      </c>
      <c r="B109" s="12" t="s">
        <v>1029</v>
      </c>
      <c r="C109" s="25">
        <v>45441</v>
      </c>
      <c r="D109" s="13">
        <v>45657</v>
      </c>
      <c r="E109" s="6" t="s">
        <v>1030</v>
      </c>
      <c r="F109" s="5" t="s">
        <v>239</v>
      </c>
      <c r="G109" s="10">
        <v>11770</v>
      </c>
      <c r="H109" s="10"/>
      <c r="I109" s="10">
        <f>1471.25+5885+2942.5</f>
        <v>10298.75</v>
      </c>
      <c r="J109" s="10"/>
      <c r="K109" s="10"/>
      <c r="L109" s="10">
        <v>1471.25</v>
      </c>
      <c r="M109" s="11"/>
      <c r="N109" s="11"/>
      <c r="O109" s="11"/>
      <c r="P109" s="10"/>
      <c r="Q109" s="10"/>
      <c r="R109" s="10">
        <f>1471.25+5885+2942.5</f>
        <v>10298.75</v>
      </c>
      <c r="S109" s="10"/>
      <c r="T109" s="10"/>
      <c r="U109" s="10">
        <v>1471.25</v>
      </c>
      <c r="V109" s="10"/>
      <c r="W109" s="10"/>
      <c r="X109" s="10"/>
      <c r="Y109" s="10"/>
      <c r="Z109" s="10">
        <f t="shared" ref="Z109" si="94">SUM(Q109:Y109)</f>
        <v>11770</v>
      </c>
      <c r="AA109" s="10">
        <f t="shared" ref="AA109" si="95">G109-Z109</f>
        <v>0</v>
      </c>
      <c r="AB109" s="20"/>
    </row>
    <row r="110" spans="1:28" s="21" customFormat="1" ht="16.5" customHeight="1" x14ac:dyDescent="0.2">
      <c r="A110" s="7">
        <v>106</v>
      </c>
      <c r="B110" s="12" t="s">
        <v>1051</v>
      </c>
      <c r="C110" s="25">
        <v>45470</v>
      </c>
      <c r="D110" s="13">
        <v>45657</v>
      </c>
      <c r="E110" s="6" t="s">
        <v>704</v>
      </c>
      <c r="F110" s="5" t="s">
        <v>1052</v>
      </c>
      <c r="G110" s="10">
        <v>1788.3</v>
      </c>
      <c r="H110" s="10"/>
      <c r="I110" s="10"/>
      <c r="J110" s="10"/>
      <c r="K110" s="10">
        <v>1788.3</v>
      </c>
      <c r="L110" s="10"/>
      <c r="M110" s="11"/>
      <c r="N110" s="11"/>
      <c r="O110" s="11"/>
      <c r="P110" s="10"/>
      <c r="Q110" s="10"/>
      <c r="R110" s="10"/>
      <c r="S110" s="10"/>
      <c r="T110" s="10">
        <v>1788.3</v>
      </c>
      <c r="U110" s="10"/>
      <c r="V110" s="10"/>
      <c r="W110" s="10"/>
      <c r="X110" s="10"/>
      <c r="Y110" s="10"/>
      <c r="Z110" s="10">
        <f t="shared" ref="Z110" si="96">SUM(Q110:Y110)</f>
        <v>1788.3</v>
      </c>
      <c r="AA110" s="10">
        <f t="shared" ref="AA110" si="97">G110-Z110</f>
        <v>0</v>
      </c>
      <c r="AB110" s="20"/>
    </row>
    <row r="111" spans="1:28" s="21" customFormat="1" ht="25.5" customHeight="1" x14ac:dyDescent="0.2">
      <c r="A111" s="7">
        <v>107</v>
      </c>
      <c r="B111" s="12" t="s">
        <v>1053</v>
      </c>
      <c r="C111" s="25">
        <v>45439</v>
      </c>
      <c r="D111" s="13">
        <v>45657</v>
      </c>
      <c r="E111" s="6" t="s">
        <v>1054</v>
      </c>
      <c r="F111" s="5" t="s">
        <v>1055</v>
      </c>
      <c r="G111" s="10">
        <v>600</v>
      </c>
      <c r="H111" s="10">
        <v>600</v>
      </c>
      <c r="I111" s="10"/>
      <c r="J111" s="10"/>
      <c r="K111" s="10"/>
      <c r="L111" s="10"/>
      <c r="M111" s="11"/>
      <c r="N111" s="11"/>
      <c r="O111" s="11"/>
      <c r="P111" s="10"/>
      <c r="Q111" s="10">
        <v>600</v>
      </c>
      <c r="R111" s="10"/>
      <c r="S111" s="10"/>
      <c r="T111" s="10"/>
      <c r="U111" s="10"/>
      <c r="V111" s="10"/>
      <c r="W111" s="10"/>
      <c r="X111" s="10"/>
      <c r="Y111" s="10"/>
      <c r="Z111" s="10">
        <f t="shared" ref="Z111" si="98">SUM(Q111:Y111)</f>
        <v>600</v>
      </c>
      <c r="AA111" s="10">
        <f t="shared" ref="AA111" si="99">G111-Z111</f>
        <v>0</v>
      </c>
      <c r="AB111" s="20"/>
    </row>
    <row r="112" spans="1:28" s="21" customFormat="1" ht="18.75" customHeight="1" x14ac:dyDescent="0.2">
      <c r="A112" s="7">
        <v>108</v>
      </c>
      <c r="B112" s="12" t="s">
        <v>1087</v>
      </c>
      <c r="C112" s="25">
        <v>45365</v>
      </c>
      <c r="D112" s="13">
        <v>45657</v>
      </c>
      <c r="E112" s="6" t="s">
        <v>305</v>
      </c>
      <c r="F112" s="5" t="s">
        <v>1088</v>
      </c>
      <c r="G112" s="10">
        <v>13125</v>
      </c>
      <c r="H112" s="10"/>
      <c r="I112" s="10"/>
      <c r="J112" s="10"/>
      <c r="K112" s="10"/>
      <c r="L112" s="10">
        <v>13125</v>
      </c>
      <c r="M112" s="11"/>
      <c r="N112" s="11"/>
      <c r="O112" s="11"/>
      <c r="P112" s="10"/>
      <c r="Q112" s="10"/>
      <c r="R112" s="10"/>
      <c r="S112" s="10"/>
      <c r="T112" s="10"/>
      <c r="U112" s="10">
        <v>13125</v>
      </c>
      <c r="V112" s="10"/>
      <c r="W112" s="10"/>
      <c r="X112" s="10"/>
      <c r="Y112" s="10"/>
      <c r="Z112" s="10">
        <f t="shared" ref="Z112" si="100">SUM(Q112:Y112)</f>
        <v>13125</v>
      </c>
      <c r="AA112" s="10">
        <f t="shared" ref="AA112" si="101">G112-Z112</f>
        <v>0</v>
      </c>
      <c r="AB112" s="20"/>
    </row>
    <row r="113" spans="1:28" s="21" customFormat="1" ht="18.75" customHeight="1" x14ac:dyDescent="0.2">
      <c r="A113" s="7">
        <v>109</v>
      </c>
      <c r="B113" s="12" t="s">
        <v>1089</v>
      </c>
      <c r="C113" s="25">
        <v>45490</v>
      </c>
      <c r="D113" s="13">
        <v>45657</v>
      </c>
      <c r="E113" s="6" t="s">
        <v>704</v>
      </c>
      <c r="F113" s="5" t="s">
        <v>1090</v>
      </c>
      <c r="G113" s="10">
        <v>2886.99</v>
      </c>
      <c r="H113" s="10"/>
      <c r="I113" s="10"/>
      <c r="J113" s="10"/>
      <c r="K113" s="10"/>
      <c r="L113" s="10">
        <v>2886.99</v>
      </c>
      <c r="M113" s="11"/>
      <c r="N113" s="11"/>
      <c r="O113" s="11"/>
      <c r="P113" s="10"/>
      <c r="Q113" s="10"/>
      <c r="R113" s="10"/>
      <c r="S113" s="10"/>
      <c r="T113" s="10"/>
      <c r="U113" s="10">
        <v>2886.99</v>
      </c>
      <c r="V113" s="10"/>
      <c r="W113" s="10"/>
      <c r="X113" s="10"/>
      <c r="Y113" s="10"/>
      <c r="Z113" s="10">
        <f t="shared" ref="Z113" si="102">SUM(Q113:Y113)</f>
        <v>2886.99</v>
      </c>
      <c r="AA113" s="10">
        <f t="shared" ref="AA113" si="103">G113-Z113</f>
        <v>0</v>
      </c>
      <c r="AB113" s="20"/>
    </row>
    <row r="114" spans="1:28" s="21" customFormat="1" ht="18.75" customHeight="1" x14ac:dyDescent="0.2">
      <c r="A114" s="7">
        <v>110</v>
      </c>
      <c r="B114" s="12" t="s">
        <v>1091</v>
      </c>
      <c r="C114" s="25">
        <v>45490</v>
      </c>
      <c r="D114" s="13">
        <v>45657</v>
      </c>
      <c r="E114" s="6" t="s">
        <v>704</v>
      </c>
      <c r="F114" s="5" t="s">
        <v>1092</v>
      </c>
      <c r="G114" s="10">
        <v>3592.5</v>
      </c>
      <c r="H114" s="10"/>
      <c r="I114" s="10"/>
      <c r="J114" s="10"/>
      <c r="K114" s="10"/>
      <c r="L114" s="10">
        <v>3592.5</v>
      </c>
      <c r="M114" s="11"/>
      <c r="N114" s="11"/>
      <c r="O114" s="11"/>
      <c r="P114" s="10"/>
      <c r="Q114" s="10"/>
      <c r="R114" s="10"/>
      <c r="S114" s="10"/>
      <c r="T114" s="10"/>
      <c r="U114" s="10">
        <v>3592.5</v>
      </c>
      <c r="V114" s="10"/>
      <c r="W114" s="10"/>
      <c r="X114" s="10"/>
      <c r="Y114" s="10"/>
      <c r="Z114" s="10">
        <f t="shared" ref="Z114" si="104">SUM(Q114:Y114)</f>
        <v>3592.5</v>
      </c>
      <c r="AA114" s="10">
        <f t="shared" ref="AA114" si="105">G114-Z114</f>
        <v>0</v>
      </c>
      <c r="AB114" s="20"/>
    </row>
    <row r="115" spans="1:28" s="21" customFormat="1" ht="18.75" customHeight="1" x14ac:dyDescent="0.2">
      <c r="A115" s="7">
        <v>111</v>
      </c>
      <c r="B115" s="12" t="s">
        <v>1097</v>
      </c>
      <c r="C115" s="25">
        <v>45321</v>
      </c>
      <c r="D115" s="13">
        <v>45657</v>
      </c>
      <c r="E115" s="6" t="s">
        <v>1098</v>
      </c>
      <c r="F115" s="5" t="s">
        <v>1099</v>
      </c>
      <c r="G115" s="10">
        <v>49468</v>
      </c>
      <c r="H115" s="10"/>
      <c r="I115" s="10">
        <v>20000</v>
      </c>
      <c r="J115" s="10"/>
      <c r="K115" s="10"/>
      <c r="L115" s="10"/>
      <c r="M115" s="11"/>
      <c r="N115" s="11"/>
      <c r="O115" s="11"/>
      <c r="P115" s="10">
        <v>29468</v>
      </c>
      <c r="Q115" s="10"/>
      <c r="R115" s="10">
        <v>20000</v>
      </c>
      <c r="S115" s="10"/>
      <c r="T115" s="10"/>
      <c r="U115" s="10"/>
      <c r="V115" s="10"/>
      <c r="W115" s="10"/>
      <c r="X115" s="10"/>
      <c r="Y115" s="10">
        <v>29468</v>
      </c>
      <c r="Z115" s="10">
        <f t="shared" ref="Z115" si="106">SUM(Q115:Y115)</f>
        <v>49468</v>
      </c>
      <c r="AA115" s="10">
        <f t="shared" ref="AA115" si="107">G115-Z115</f>
        <v>0</v>
      </c>
      <c r="AB115" s="20"/>
    </row>
    <row r="116" spans="1:28" s="21" customFormat="1" ht="18.75" customHeight="1" x14ac:dyDescent="0.2">
      <c r="A116" s="7">
        <v>112</v>
      </c>
      <c r="B116" s="12" t="s">
        <v>1159</v>
      </c>
      <c r="C116" s="25">
        <v>45497</v>
      </c>
      <c r="D116" s="13">
        <v>45657</v>
      </c>
      <c r="E116" s="6" t="s">
        <v>84</v>
      </c>
      <c r="F116" s="5" t="s">
        <v>85</v>
      </c>
      <c r="G116" s="10">
        <v>6362</v>
      </c>
      <c r="H116" s="10"/>
      <c r="I116" s="10"/>
      <c r="J116" s="10"/>
      <c r="K116" s="10"/>
      <c r="L116" s="10">
        <v>6362</v>
      </c>
      <c r="M116" s="11"/>
      <c r="N116" s="11"/>
      <c r="O116" s="11"/>
      <c r="P116" s="10"/>
      <c r="Q116" s="10"/>
      <c r="R116" s="10"/>
      <c r="S116" s="10"/>
      <c r="T116" s="10"/>
      <c r="U116" s="10">
        <v>6362</v>
      </c>
      <c r="V116" s="10"/>
      <c r="W116" s="10"/>
      <c r="X116" s="10"/>
      <c r="Y116" s="10"/>
      <c r="Z116" s="10">
        <f t="shared" ref="Z116:Z118" si="108">SUM(Q116:Y116)</f>
        <v>6362</v>
      </c>
      <c r="AA116" s="10">
        <f t="shared" ref="AA116:AA118" si="109">G116-Z116</f>
        <v>0</v>
      </c>
      <c r="AB116" s="20"/>
    </row>
    <row r="117" spans="1:28" s="21" customFormat="1" ht="18.75" customHeight="1" x14ac:dyDescent="0.2">
      <c r="A117" s="7">
        <v>113</v>
      </c>
      <c r="B117" s="12" t="s">
        <v>1163</v>
      </c>
      <c r="C117" s="25">
        <v>45498</v>
      </c>
      <c r="D117" s="13">
        <v>45657</v>
      </c>
      <c r="E117" s="6" t="s">
        <v>270</v>
      </c>
      <c r="F117" s="5" t="s">
        <v>1164</v>
      </c>
      <c r="G117" s="10">
        <v>523</v>
      </c>
      <c r="H117" s="10"/>
      <c r="I117" s="10"/>
      <c r="J117" s="10"/>
      <c r="K117" s="10"/>
      <c r="L117" s="10">
        <v>523</v>
      </c>
      <c r="M117" s="11"/>
      <c r="N117" s="11"/>
      <c r="O117" s="11"/>
      <c r="P117" s="10"/>
      <c r="Q117" s="10"/>
      <c r="R117" s="10"/>
      <c r="S117" s="10"/>
      <c r="T117" s="10"/>
      <c r="U117" s="10">
        <v>523</v>
      </c>
      <c r="V117" s="10"/>
      <c r="W117" s="10"/>
      <c r="X117" s="10"/>
      <c r="Y117" s="10"/>
      <c r="Z117" s="10">
        <f t="shared" ref="Z117" si="110">SUM(Q117:Y117)</f>
        <v>523</v>
      </c>
      <c r="AA117" s="10">
        <f t="shared" ref="AA117" si="111">G117-Z117</f>
        <v>0</v>
      </c>
      <c r="AB117" s="20"/>
    </row>
    <row r="118" spans="1:28" s="21" customFormat="1" ht="36" customHeight="1" x14ac:dyDescent="0.2">
      <c r="A118" s="7">
        <v>114</v>
      </c>
      <c r="B118" s="12" t="s">
        <v>1196</v>
      </c>
      <c r="C118" s="13">
        <v>45483</v>
      </c>
      <c r="D118" s="13">
        <v>45657</v>
      </c>
      <c r="E118" s="6" t="s">
        <v>1197</v>
      </c>
      <c r="F118" s="17" t="s">
        <v>1198</v>
      </c>
      <c r="G118" s="10">
        <v>30550</v>
      </c>
      <c r="H118" s="10"/>
      <c r="I118" s="10"/>
      <c r="J118" s="10"/>
      <c r="K118" s="10">
        <v>30550</v>
      </c>
      <c r="L118" s="10"/>
      <c r="M118" s="10"/>
      <c r="N118" s="10"/>
      <c r="O118" s="10"/>
      <c r="P118" s="10"/>
      <c r="Q118" s="10"/>
      <c r="R118" s="10"/>
      <c r="S118" s="10"/>
      <c r="T118" s="10">
        <v>30550</v>
      </c>
      <c r="U118" s="10"/>
      <c r="V118" s="10"/>
      <c r="W118" s="10"/>
      <c r="X118" s="10"/>
      <c r="Y118" s="10"/>
      <c r="Z118" s="10">
        <f t="shared" si="108"/>
        <v>30550</v>
      </c>
      <c r="AA118" s="10">
        <f t="shared" si="109"/>
        <v>0</v>
      </c>
      <c r="AB118" s="20"/>
    </row>
    <row r="119" spans="1:28" s="21" customFormat="1" ht="17.25" customHeight="1" x14ac:dyDescent="0.2">
      <c r="A119" s="7">
        <v>115</v>
      </c>
      <c r="B119" s="12" t="s">
        <v>1213</v>
      </c>
      <c r="C119" s="13">
        <v>45485</v>
      </c>
      <c r="D119" s="13">
        <v>45657</v>
      </c>
      <c r="E119" s="6" t="s">
        <v>704</v>
      </c>
      <c r="F119" s="17" t="s">
        <v>1214</v>
      </c>
      <c r="G119" s="10">
        <v>989.64</v>
      </c>
      <c r="H119" s="10"/>
      <c r="I119" s="10"/>
      <c r="J119" s="10"/>
      <c r="K119" s="10">
        <v>989.64</v>
      </c>
      <c r="L119" s="10"/>
      <c r="M119" s="10"/>
      <c r="N119" s="10"/>
      <c r="O119" s="10"/>
      <c r="P119" s="10"/>
      <c r="Q119" s="10"/>
      <c r="R119" s="10"/>
      <c r="S119" s="10"/>
      <c r="T119" s="10">
        <v>989.64</v>
      </c>
      <c r="U119" s="10"/>
      <c r="V119" s="10"/>
      <c r="W119" s="10"/>
      <c r="X119" s="10"/>
      <c r="Y119" s="10"/>
      <c r="Z119" s="10">
        <f t="shared" ref="Z119" si="112">SUM(Q119:Y119)</f>
        <v>989.64</v>
      </c>
      <c r="AA119" s="10">
        <f t="shared" ref="AA119" si="113">G119-Z119</f>
        <v>0</v>
      </c>
      <c r="AB119" s="20"/>
    </row>
    <row r="120" spans="1:28" s="21" customFormat="1" ht="17.25" customHeight="1" x14ac:dyDescent="0.2">
      <c r="A120" s="7">
        <v>116</v>
      </c>
      <c r="B120" s="12" t="s">
        <v>316</v>
      </c>
      <c r="C120" s="13">
        <v>45518</v>
      </c>
      <c r="D120" s="13">
        <v>45657</v>
      </c>
      <c r="E120" s="6" t="s">
        <v>1222</v>
      </c>
      <c r="F120" s="17" t="s">
        <v>1223</v>
      </c>
      <c r="G120" s="10">
        <v>5994.02</v>
      </c>
      <c r="H120" s="10"/>
      <c r="I120" s="10">
        <v>5994.02</v>
      </c>
      <c r="J120" s="10"/>
      <c r="K120" s="10"/>
      <c r="L120" s="10"/>
      <c r="M120" s="10"/>
      <c r="N120" s="10"/>
      <c r="O120" s="10"/>
      <c r="P120" s="10"/>
      <c r="Q120" s="10"/>
      <c r="R120" s="10">
        <v>5994.02</v>
      </c>
      <c r="S120" s="10"/>
      <c r="T120" s="10"/>
      <c r="U120" s="10"/>
      <c r="V120" s="10"/>
      <c r="W120" s="10"/>
      <c r="X120" s="10"/>
      <c r="Y120" s="10"/>
      <c r="Z120" s="10">
        <f t="shared" ref="Z120" si="114">SUM(Q120:Y120)</f>
        <v>5994.02</v>
      </c>
      <c r="AA120" s="10">
        <f t="shared" ref="AA120" si="115">G120-Z120</f>
        <v>0</v>
      </c>
      <c r="AB120" s="20"/>
    </row>
    <row r="121" spans="1:28" s="21" customFormat="1" ht="25.5" customHeight="1" x14ac:dyDescent="0.2">
      <c r="A121" s="7">
        <v>117</v>
      </c>
      <c r="B121" s="12" t="s">
        <v>1245</v>
      </c>
      <c r="C121" s="13">
        <v>45454</v>
      </c>
      <c r="D121" s="13">
        <v>45657</v>
      </c>
      <c r="E121" s="6" t="s">
        <v>1247</v>
      </c>
      <c r="F121" s="17" t="s">
        <v>1246</v>
      </c>
      <c r="G121" s="10">
        <v>11984</v>
      </c>
      <c r="H121" s="10"/>
      <c r="I121" s="10"/>
      <c r="J121" s="10"/>
      <c r="K121" s="10"/>
      <c r="L121" s="10"/>
      <c r="M121" s="10"/>
      <c r="N121" s="10"/>
      <c r="O121" s="10"/>
      <c r="P121" s="10">
        <v>11984</v>
      </c>
      <c r="Q121" s="10"/>
      <c r="R121" s="10"/>
      <c r="S121" s="10"/>
      <c r="T121" s="10"/>
      <c r="U121" s="10"/>
      <c r="V121" s="10"/>
      <c r="W121" s="10"/>
      <c r="X121" s="10"/>
      <c r="Y121" s="10">
        <v>11984</v>
      </c>
      <c r="Z121" s="10">
        <f t="shared" ref="Z121" si="116">SUM(Q121:Y121)</f>
        <v>11984</v>
      </c>
      <c r="AA121" s="10">
        <f t="shared" ref="AA121" si="117">G121-Z121</f>
        <v>0</v>
      </c>
      <c r="AB121" s="20"/>
    </row>
    <row r="122" spans="1:28" s="21" customFormat="1" ht="25.5" customHeight="1" x14ac:dyDescent="0.2">
      <c r="A122" s="7">
        <v>118</v>
      </c>
      <c r="B122" s="12" t="s">
        <v>1248</v>
      </c>
      <c r="C122" s="13">
        <v>45511</v>
      </c>
      <c r="D122" s="13">
        <v>45657</v>
      </c>
      <c r="E122" s="6" t="s">
        <v>1249</v>
      </c>
      <c r="F122" s="17" t="s">
        <v>1250</v>
      </c>
      <c r="G122" s="10">
        <v>6000</v>
      </c>
      <c r="H122" s="10">
        <v>6000</v>
      </c>
      <c r="I122" s="10"/>
      <c r="J122" s="10"/>
      <c r="K122" s="10"/>
      <c r="L122" s="10"/>
      <c r="M122" s="10"/>
      <c r="N122" s="10"/>
      <c r="O122" s="10"/>
      <c r="P122" s="10"/>
      <c r="Q122" s="10">
        <v>6000</v>
      </c>
      <c r="R122" s="10"/>
      <c r="S122" s="10"/>
      <c r="T122" s="10"/>
      <c r="U122" s="10"/>
      <c r="V122" s="10"/>
      <c r="W122" s="10"/>
      <c r="X122" s="10"/>
      <c r="Y122" s="10"/>
      <c r="Z122" s="10">
        <f t="shared" ref="Z122" si="118">SUM(Q122:Y122)</f>
        <v>6000</v>
      </c>
      <c r="AA122" s="10">
        <f t="shared" ref="AA122" si="119">G122-Z122</f>
        <v>0</v>
      </c>
      <c r="AB122" s="20"/>
    </row>
    <row r="123" spans="1:28" s="21" customFormat="1" ht="16.5" customHeight="1" x14ac:dyDescent="0.2">
      <c r="A123" s="7">
        <v>119</v>
      </c>
      <c r="B123" s="12" t="s">
        <v>1254</v>
      </c>
      <c r="C123" s="12" t="s">
        <v>1253</v>
      </c>
      <c r="D123" s="13">
        <v>45657</v>
      </c>
      <c r="E123" s="6" t="s">
        <v>1255</v>
      </c>
      <c r="F123" s="17" t="s">
        <v>1256</v>
      </c>
      <c r="G123" s="10">
        <v>8250</v>
      </c>
      <c r="H123" s="10"/>
      <c r="I123" s="10"/>
      <c r="J123" s="10"/>
      <c r="K123" s="10">
        <v>8250</v>
      </c>
      <c r="L123" s="10"/>
      <c r="M123" s="10"/>
      <c r="N123" s="10"/>
      <c r="O123" s="10"/>
      <c r="P123" s="10"/>
      <c r="Q123" s="10"/>
      <c r="R123" s="10"/>
      <c r="S123" s="10"/>
      <c r="T123" s="10">
        <v>8250</v>
      </c>
      <c r="U123" s="10"/>
      <c r="V123" s="10"/>
      <c r="W123" s="10"/>
      <c r="X123" s="10"/>
      <c r="Y123" s="10"/>
      <c r="Z123" s="10">
        <f t="shared" ref="Z123" si="120">SUM(Q123:Y123)</f>
        <v>8250</v>
      </c>
      <c r="AA123" s="10">
        <f t="shared" ref="AA123" si="121">G123-Z123</f>
        <v>0</v>
      </c>
      <c r="AB123" s="20"/>
    </row>
    <row r="124" spans="1:28" s="21" customFormat="1" ht="16.5" customHeight="1" x14ac:dyDescent="0.2">
      <c r="A124" s="7">
        <v>120</v>
      </c>
      <c r="B124" s="12" t="s">
        <v>1257</v>
      </c>
      <c r="C124" s="12" t="s">
        <v>1253</v>
      </c>
      <c r="D124" s="13">
        <v>45657</v>
      </c>
      <c r="E124" s="6" t="s">
        <v>1255</v>
      </c>
      <c r="F124" s="17" t="s">
        <v>1258</v>
      </c>
      <c r="G124" s="10">
        <v>9900</v>
      </c>
      <c r="H124" s="10"/>
      <c r="I124" s="10"/>
      <c r="J124" s="10"/>
      <c r="K124" s="10"/>
      <c r="L124" s="49">
        <v>9900</v>
      </c>
      <c r="M124" s="10"/>
      <c r="N124" s="10"/>
      <c r="O124" s="10"/>
      <c r="P124" s="10"/>
      <c r="Q124" s="10"/>
      <c r="R124" s="10"/>
      <c r="S124" s="10"/>
      <c r="T124" s="10"/>
      <c r="U124" s="10">
        <v>9900</v>
      </c>
      <c r="V124" s="10"/>
      <c r="W124" s="10"/>
      <c r="X124" s="10"/>
      <c r="Y124" s="10"/>
      <c r="Z124" s="10">
        <f t="shared" ref="Z124" si="122">SUM(Q124:Y124)</f>
        <v>9900</v>
      </c>
      <c r="AA124" s="10">
        <f t="shared" ref="AA124" si="123">G124-Z124</f>
        <v>0</v>
      </c>
      <c r="AB124" s="20"/>
    </row>
    <row r="125" spans="1:28" s="21" customFormat="1" ht="16.5" customHeight="1" x14ac:dyDescent="0.2">
      <c r="A125" s="7">
        <v>121</v>
      </c>
      <c r="B125" s="12" t="s">
        <v>1261</v>
      </c>
      <c r="C125" s="12" t="s">
        <v>1262</v>
      </c>
      <c r="D125" s="13">
        <v>45657</v>
      </c>
      <c r="E125" s="6" t="s">
        <v>1263</v>
      </c>
      <c r="F125" s="17" t="s">
        <v>1264</v>
      </c>
      <c r="G125" s="10">
        <v>21495.599999999999</v>
      </c>
      <c r="H125" s="10"/>
      <c r="I125" s="10"/>
      <c r="J125" s="10"/>
      <c r="K125" s="10"/>
      <c r="L125" s="10">
        <v>21495.599999999999</v>
      </c>
      <c r="M125" s="10"/>
      <c r="N125" s="10"/>
      <c r="O125" s="10"/>
      <c r="P125" s="10"/>
      <c r="Q125" s="10"/>
      <c r="R125" s="10"/>
      <c r="S125" s="10"/>
      <c r="T125" s="10"/>
      <c r="U125" s="10">
        <v>21495.599999999999</v>
      </c>
      <c r="V125" s="10"/>
      <c r="W125" s="10"/>
      <c r="X125" s="10"/>
      <c r="Y125" s="10"/>
      <c r="Z125" s="10">
        <f t="shared" ref="Z125" si="124">SUM(Q125:Y125)</f>
        <v>21495.599999999999</v>
      </c>
      <c r="AA125" s="10">
        <f t="shared" ref="AA125" si="125">G125-Z125</f>
        <v>0</v>
      </c>
      <c r="AB125" s="20"/>
    </row>
    <row r="126" spans="1:28" s="21" customFormat="1" ht="25.5" customHeight="1" x14ac:dyDescent="0.2">
      <c r="A126" s="7">
        <v>122</v>
      </c>
      <c r="B126" s="12" t="s">
        <v>1269</v>
      </c>
      <c r="C126" s="12" t="s">
        <v>1270</v>
      </c>
      <c r="D126" s="13">
        <v>45657</v>
      </c>
      <c r="E126" s="6" t="s">
        <v>1271</v>
      </c>
      <c r="F126" s="17" t="s">
        <v>1272</v>
      </c>
      <c r="G126" s="10">
        <v>4400</v>
      </c>
      <c r="H126" s="10"/>
      <c r="I126" s="10">
        <v>4400</v>
      </c>
      <c r="J126" s="10"/>
      <c r="K126" s="10"/>
      <c r="L126" s="10"/>
      <c r="M126" s="10"/>
      <c r="N126" s="10"/>
      <c r="O126" s="10"/>
      <c r="P126" s="10"/>
      <c r="Q126" s="10"/>
      <c r="R126" s="10">
        <v>4400</v>
      </c>
      <c r="S126" s="10"/>
      <c r="T126" s="10"/>
      <c r="U126" s="10"/>
      <c r="V126" s="10"/>
      <c r="W126" s="10"/>
      <c r="X126" s="10"/>
      <c r="Y126" s="10"/>
      <c r="Z126" s="10">
        <f>SUM(Q126:Y126)</f>
        <v>4400</v>
      </c>
      <c r="AA126" s="10">
        <f>G126-Z126</f>
        <v>0</v>
      </c>
      <c r="AB126" s="20"/>
    </row>
    <row r="127" spans="1:28" s="21" customFormat="1" ht="25.5" customHeight="1" x14ac:dyDescent="0.2">
      <c r="A127" s="7">
        <v>123</v>
      </c>
      <c r="B127" s="12" t="s">
        <v>1276</v>
      </c>
      <c r="C127" s="12" t="s">
        <v>1277</v>
      </c>
      <c r="D127" s="13">
        <v>45647</v>
      </c>
      <c r="E127" s="6" t="s">
        <v>1278</v>
      </c>
      <c r="F127" s="17" t="s">
        <v>1279</v>
      </c>
      <c r="G127" s="10">
        <v>241000</v>
      </c>
      <c r="H127" s="10"/>
      <c r="I127" s="10"/>
      <c r="J127" s="10"/>
      <c r="K127" s="10"/>
      <c r="L127" s="10"/>
      <c r="M127" s="10"/>
      <c r="N127" s="10"/>
      <c r="O127" s="10"/>
      <c r="P127" s="10">
        <v>73200</v>
      </c>
      <c r="Q127" s="10"/>
      <c r="R127" s="10"/>
      <c r="S127" s="10"/>
      <c r="T127" s="10"/>
      <c r="U127" s="10"/>
      <c r="V127" s="10"/>
      <c r="W127" s="10"/>
      <c r="X127" s="10"/>
      <c r="Y127" s="10">
        <v>73200</v>
      </c>
      <c r="Z127" s="10">
        <f t="shared" ref="Z127" si="126">SUM(Q127:Y127)</f>
        <v>73200</v>
      </c>
      <c r="AA127" s="10">
        <f t="shared" ref="AA127" si="127">G127-Z127</f>
        <v>167800</v>
      </c>
      <c r="AB127" s="20"/>
    </row>
    <row r="128" spans="1:28" s="21" customFormat="1" ht="18.75" customHeight="1" x14ac:dyDescent="0.2">
      <c r="A128" s="7">
        <v>124</v>
      </c>
      <c r="B128" s="12" t="s">
        <v>1280</v>
      </c>
      <c r="C128" s="12" t="s">
        <v>801</v>
      </c>
      <c r="D128" s="13">
        <v>45657</v>
      </c>
      <c r="E128" s="6" t="s">
        <v>1281</v>
      </c>
      <c r="F128" s="17" t="s">
        <v>288</v>
      </c>
      <c r="G128" s="10">
        <v>104170.92</v>
      </c>
      <c r="H128" s="10"/>
      <c r="I128" s="10"/>
      <c r="J128" s="10"/>
      <c r="K128" s="10"/>
      <c r="L128" s="10"/>
      <c r="M128" s="10"/>
      <c r="N128" s="10"/>
      <c r="O128" s="10"/>
      <c r="P128" s="10">
        <v>34154.400000000001</v>
      </c>
      <c r="Q128" s="10"/>
      <c r="R128" s="10"/>
      <c r="S128" s="10"/>
      <c r="T128" s="10"/>
      <c r="U128" s="10"/>
      <c r="V128" s="10"/>
      <c r="W128" s="10"/>
      <c r="X128" s="10"/>
      <c r="Y128" s="10">
        <v>34154.400000000001</v>
      </c>
      <c r="Z128" s="10">
        <f t="shared" ref="Z128" si="128">SUM(Q128:Y128)</f>
        <v>34154.400000000001</v>
      </c>
      <c r="AA128" s="10">
        <f t="shared" ref="AA128" si="129">G128-Z128</f>
        <v>70016.51999999999</v>
      </c>
      <c r="AB128" s="20"/>
    </row>
    <row r="129" spans="1:28" s="21" customFormat="1" ht="18.75" customHeight="1" x14ac:dyDescent="0.2">
      <c r="A129" s="7">
        <v>125</v>
      </c>
      <c r="B129" s="12" t="s">
        <v>1286</v>
      </c>
      <c r="C129" s="12" t="s">
        <v>1287</v>
      </c>
      <c r="D129" s="13">
        <v>45657</v>
      </c>
      <c r="E129" s="6" t="s">
        <v>1288</v>
      </c>
      <c r="F129" s="17" t="s">
        <v>1289</v>
      </c>
      <c r="G129" s="10">
        <v>170000</v>
      </c>
      <c r="H129" s="10"/>
      <c r="I129" s="10"/>
      <c r="J129" s="10"/>
      <c r="K129" s="10"/>
      <c r="L129" s="10"/>
      <c r="M129" s="10"/>
      <c r="N129" s="10"/>
      <c r="O129" s="10"/>
      <c r="P129" s="10">
        <v>79000</v>
      </c>
      <c r="Q129" s="10"/>
      <c r="R129" s="10"/>
      <c r="S129" s="10"/>
      <c r="T129" s="10"/>
      <c r="U129" s="10"/>
      <c r="V129" s="10"/>
      <c r="W129" s="10"/>
      <c r="X129" s="10"/>
      <c r="Y129" s="10">
        <v>79000</v>
      </c>
      <c r="Z129" s="10">
        <f t="shared" ref="Z129" si="130">SUM(Q129:Y129)</f>
        <v>79000</v>
      </c>
      <c r="AA129" s="10">
        <f t="shared" ref="AA129" si="131">G129-Z129</f>
        <v>91000</v>
      </c>
      <c r="AB129" s="20"/>
    </row>
    <row r="130" spans="1:28" s="21" customFormat="1" ht="27" customHeight="1" x14ac:dyDescent="0.2">
      <c r="A130" s="7">
        <v>126</v>
      </c>
      <c r="B130" s="12" t="s">
        <v>1292</v>
      </c>
      <c r="C130" s="12" t="s">
        <v>931</v>
      </c>
      <c r="D130" s="13">
        <v>45657</v>
      </c>
      <c r="E130" s="6" t="s">
        <v>1293</v>
      </c>
      <c r="F130" s="17" t="s">
        <v>239</v>
      </c>
      <c r="G130" s="10">
        <v>1476771.2</v>
      </c>
      <c r="H130" s="10"/>
      <c r="I130" s="10"/>
      <c r="J130" s="10"/>
      <c r="K130" s="10"/>
      <c r="L130" s="10"/>
      <c r="M130" s="10"/>
      <c r="N130" s="10"/>
      <c r="O130" s="10"/>
      <c r="P130" s="10">
        <f>1243126+233645.2</f>
        <v>1476771.2</v>
      </c>
      <c r="Q130" s="10"/>
      <c r="R130" s="10"/>
      <c r="S130" s="10"/>
      <c r="T130" s="10"/>
      <c r="U130" s="10"/>
      <c r="V130" s="10"/>
      <c r="W130" s="10"/>
      <c r="X130" s="10"/>
      <c r="Y130" s="10">
        <f>1243126+233645.2</f>
        <v>1476771.2</v>
      </c>
      <c r="Z130" s="10">
        <f t="shared" ref="Z130" si="132">SUM(Q130:Y130)</f>
        <v>1476771.2</v>
      </c>
      <c r="AA130" s="10">
        <f t="shared" ref="AA130" si="133">G130-Z130</f>
        <v>0</v>
      </c>
      <c r="AB130" s="20"/>
    </row>
    <row r="131" spans="1:28" s="21" customFormat="1" ht="27" customHeight="1" x14ac:dyDescent="0.2">
      <c r="A131" s="7">
        <v>127</v>
      </c>
      <c r="B131" s="12" t="s">
        <v>1294</v>
      </c>
      <c r="C131" s="12" t="s">
        <v>1295</v>
      </c>
      <c r="D131" s="13">
        <v>45657</v>
      </c>
      <c r="E131" s="17" t="s">
        <v>1296</v>
      </c>
      <c r="F131" s="17" t="s">
        <v>326</v>
      </c>
      <c r="G131" s="10">
        <v>163770</v>
      </c>
      <c r="H131" s="10"/>
      <c r="I131" s="10"/>
      <c r="J131" s="10"/>
      <c r="K131" s="10"/>
      <c r="L131" s="10"/>
      <c r="M131" s="10"/>
      <c r="N131" s="10"/>
      <c r="O131" s="10"/>
      <c r="P131" s="10">
        <f>10506+7004+17510</f>
        <v>35020</v>
      </c>
      <c r="Q131" s="10"/>
      <c r="R131" s="10"/>
      <c r="S131" s="10"/>
      <c r="T131" s="10"/>
      <c r="U131" s="10"/>
      <c r="V131" s="10"/>
      <c r="W131" s="10"/>
      <c r="X131" s="10"/>
      <c r="Y131" s="10">
        <f>10506+7004+17510</f>
        <v>35020</v>
      </c>
      <c r="Z131" s="10">
        <f t="shared" ref="Z131" si="134">SUM(Q131:Y131)</f>
        <v>35020</v>
      </c>
      <c r="AA131" s="10">
        <f t="shared" ref="AA131" si="135">G131-Z131</f>
        <v>128750</v>
      </c>
      <c r="AB131" s="20"/>
    </row>
    <row r="132" spans="1:28" s="21" customFormat="1" ht="17.25" customHeight="1" x14ac:dyDescent="0.2">
      <c r="A132" s="7">
        <v>128</v>
      </c>
      <c r="B132" s="12" t="s">
        <v>1297</v>
      </c>
      <c r="C132" s="12" t="s">
        <v>900</v>
      </c>
      <c r="D132" s="13">
        <v>45657</v>
      </c>
      <c r="E132" s="17" t="s">
        <v>1298</v>
      </c>
      <c r="F132" s="17" t="s">
        <v>326</v>
      </c>
      <c r="G132" s="10">
        <v>31300</v>
      </c>
      <c r="H132" s="10"/>
      <c r="I132" s="10"/>
      <c r="J132" s="10"/>
      <c r="K132" s="10"/>
      <c r="L132" s="10"/>
      <c r="M132" s="10"/>
      <c r="N132" s="10"/>
      <c r="O132" s="10"/>
      <c r="P132" s="10">
        <v>31300</v>
      </c>
      <c r="Q132" s="10"/>
      <c r="R132" s="10"/>
      <c r="S132" s="10"/>
      <c r="T132" s="10"/>
      <c r="U132" s="10"/>
      <c r="V132" s="10"/>
      <c r="W132" s="10"/>
      <c r="X132" s="10"/>
      <c r="Y132" s="10">
        <v>31300</v>
      </c>
      <c r="Z132" s="10">
        <f t="shared" ref="Z132" si="136">SUM(Q132:Y132)</f>
        <v>31300</v>
      </c>
      <c r="AA132" s="10">
        <f t="shared" ref="AA132" si="137">G132-Z132</f>
        <v>0</v>
      </c>
      <c r="AB132" s="20"/>
    </row>
    <row r="133" spans="1:28" s="21" customFormat="1" ht="40.5" customHeight="1" x14ac:dyDescent="0.2">
      <c r="A133" s="7">
        <v>129</v>
      </c>
      <c r="B133" s="12" t="s">
        <v>1299</v>
      </c>
      <c r="C133" s="12" t="s">
        <v>459</v>
      </c>
      <c r="D133" s="13">
        <v>45657</v>
      </c>
      <c r="E133" s="17" t="s">
        <v>1300</v>
      </c>
      <c r="F133" s="17" t="s">
        <v>288</v>
      </c>
      <c r="G133" s="10">
        <v>136308</v>
      </c>
      <c r="H133" s="10"/>
      <c r="I133" s="10"/>
      <c r="J133" s="10"/>
      <c r="K133" s="10"/>
      <c r="L133" s="10"/>
      <c r="M133" s="10"/>
      <c r="N133" s="10"/>
      <c r="O133" s="10"/>
      <c r="P133" s="10">
        <f>68154+68154</f>
        <v>136308</v>
      </c>
      <c r="Q133" s="10"/>
      <c r="R133" s="10"/>
      <c r="S133" s="10"/>
      <c r="T133" s="10"/>
      <c r="U133" s="10"/>
      <c r="V133" s="10"/>
      <c r="W133" s="10"/>
      <c r="X133" s="10"/>
      <c r="Y133" s="10">
        <f>68154+68154</f>
        <v>136308</v>
      </c>
      <c r="Z133" s="10">
        <f t="shared" ref="Z133" si="138">SUM(Q133:Y133)</f>
        <v>136308</v>
      </c>
      <c r="AA133" s="10">
        <f t="shared" ref="AA133" si="139">G133-Z133</f>
        <v>0</v>
      </c>
      <c r="AB133" s="20"/>
    </row>
    <row r="134" spans="1:28" s="21" customFormat="1" ht="16.5" customHeight="1" x14ac:dyDescent="0.2">
      <c r="A134" s="7">
        <v>130</v>
      </c>
      <c r="B134" s="12" t="s">
        <v>1301</v>
      </c>
      <c r="C134" s="12" t="s">
        <v>1302</v>
      </c>
      <c r="D134" s="13">
        <v>45657</v>
      </c>
      <c r="E134" s="17" t="s">
        <v>704</v>
      </c>
      <c r="F134" s="17" t="s">
        <v>1256</v>
      </c>
      <c r="G134" s="10">
        <v>2411.4</v>
      </c>
      <c r="H134" s="10"/>
      <c r="I134" s="10"/>
      <c r="J134" s="10"/>
      <c r="K134" s="10"/>
      <c r="L134" s="10"/>
      <c r="M134" s="10"/>
      <c r="N134" s="10"/>
      <c r="O134" s="10"/>
      <c r="P134" s="10">
        <v>2411.4</v>
      </c>
      <c r="Q134" s="10"/>
      <c r="R134" s="10"/>
      <c r="S134" s="10"/>
      <c r="T134" s="10"/>
      <c r="U134" s="10"/>
      <c r="V134" s="10"/>
      <c r="W134" s="10"/>
      <c r="X134" s="10"/>
      <c r="Y134" s="10">
        <v>2411.4</v>
      </c>
      <c r="Z134" s="10">
        <f t="shared" ref="Z134" si="140">SUM(Q134:Y134)</f>
        <v>2411.4</v>
      </c>
      <c r="AA134" s="10">
        <f t="shared" ref="AA134" si="141">G134-Z134</f>
        <v>0</v>
      </c>
      <c r="AB134" s="20"/>
    </row>
    <row r="135" spans="1:28" s="21" customFormat="1" ht="27.75" customHeight="1" x14ac:dyDescent="0.2">
      <c r="A135" s="7">
        <v>131</v>
      </c>
      <c r="B135" s="12" t="s">
        <v>1303</v>
      </c>
      <c r="C135" s="12" t="s">
        <v>923</v>
      </c>
      <c r="D135" s="13">
        <v>45657</v>
      </c>
      <c r="E135" s="17" t="s">
        <v>1312</v>
      </c>
      <c r="F135" s="17" t="s">
        <v>1304</v>
      </c>
      <c r="G135" s="10">
        <v>19000</v>
      </c>
      <c r="H135" s="10"/>
      <c r="I135" s="10"/>
      <c r="J135" s="10"/>
      <c r="K135" s="10"/>
      <c r="L135" s="10"/>
      <c r="M135" s="10"/>
      <c r="N135" s="10"/>
      <c r="O135" s="10"/>
      <c r="P135" s="10">
        <v>19000</v>
      </c>
      <c r="Q135" s="10"/>
      <c r="R135" s="10"/>
      <c r="S135" s="10"/>
      <c r="T135" s="10"/>
      <c r="U135" s="10"/>
      <c r="V135" s="10"/>
      <c r="W135" s="10"/>
      <c r="X135" s="10"/>
      <c r="Y135" s="10">
        <v>19000</v>
      </c>
      <c r="Z135" s="10">
        <f t="shared" ref="Z135" si="142">SUM(Q135:Y135)</f>
        <v>19000</v>
      </c>
      <c r="AA135" s="10">
        <f t="shared" ref="AA135" si="143">G135-Z135</f>
        <v>0</v>
      </c>
      <c r="AB135" s="20"/>
    </row>
    <row r="136" spans="1:28" s="21" customFormat="1" ht="16.5" customHeight="1" x14ac:dyDescent="0.2">
      <c r="A136" s="7">
        <v>132</v>
      </c>
      <c r="B136" s="12" t="s">
        <v>1309</v>
      </c>
      <c r="C136" s="12" t="s">
        <v>762</v>
      </c>
      <c r="D136" s="13">
        <v>45657</v>
      </c>
      <c r="E136" s="17" t="s">
        <v>1310</v>
      </c>
      <c r="F136" s="17" t="s">
        <v>753</v>
      </c>
      <c r="G136" s="10">
        <v>1990.2</v>
      </c>
      <c r="H136" s="10"/>
      <c r="I136" s="10"/>
      <c r="J136" s="10"/>
      <c r="K136" s="10"/>
      <c r="L136" s="10"/>
      <c r="M136" s="10"/>
      <c r="N136" s="10"/>
      <c r="O136" s="10"/>
      <c r="P136" s="10">
        <v>1990.2</v>
      </c>
      <c r="Q136" s="10"/>
      <c r="R136" s="10"/>
      <c r="S136" s="10"/>
      <c r="T136" s="10"/>
      <c r="U136" s="10"/>
      <c r="V136" s="10"/>
      <c r="W136" s="10"/>
      <c r="X136" s="10"/>
      <c r="Y136" s="10">
        <v>1990.2</v>
      </c>
      <c r="Z136" s="10">
        <f t="shared" ref="Z136" si="144">SUM(Q136:Y136)</f>
        <v>1990.2</v>
      </c>
      <c r="AA136" s="10">
        <f t="shared" ref="AA136" si="145">G136-Z136</f>
        <v>0</v>
      </c>
      <c r="AB136" s="20"/>
    </row>
    <row r="137" spans="1:28" s="21" customFormat="1" ht="37.5" customHeight="1" x14ac:dyDescent="0.2">
      <c r="A137" s="7">
        <v>133</v>
      </c>
      <c r="B137" s="12" t="s">
        <v>119</v>
      </c>
      <c r="C137" s="12" t="s">
        <v>1311</v>
      </c>
      <c r="D137" s="13">
        <v>45657</v>
      </c>
      <c r="E137" s="6" t="s">
        <v>1313</v>
      </c>
      <c r="F137" s="17" t="s">
        <v>1314</v>
      </c>
      <c r="G137" s="10">
        <v>22500</v>
      </c>
      <c r="H137" s="10">
        <v>22500</v>
      </c>
      <c r="I137" s="10"/>
      <c r="J137" s="10"/>
      <c r="K137" s="10"/>
      <c r="L137" s="10"/>
      <c r="M137" s="10"/>
      <c r="N137" s="10"/>
      <c r="O137" s="10"/>
      <c r="P137" s="10"/>
      <c r="Q137" s="10">
        <v>22500</v>
      </c>
      <c r="R137" s="10"/>
      <c r="S137" s="10"/>
      <c r="T137" s="10"/>
      <c r="U137" s="10"/>
      <c r="V137" s="10"/>
      <c r="W137" s="10"/>
      <c r="X137" s="10"/>
      <c r="Y137" s="10"/>
      <c r="Z137" s="10">
        <f t="shared" ref="Z137" si="146">SUM(Q137:Y137)</f>
        <v>22500</v>
      </c>
      <c r="AA137" s="10">
        <f t="shared" ref="AA137" si="147">G137-Z137</f>
        <v>0</v>
      </c>
      <c r="AB137" s="20"/>
    </row>
    <row r="138" spans="1:28" s="21" customFormat="1" ht="17.25" customHeight="1" x14ac:dyDescent="0.2">
      <c r="A138" s="7">
        <v>134</v>
      </c>
      <c r="B138" s="12" t="s">
        <v>1315</v>
      </c>
      <c r="C138" s="12" t="s">
        <v>1316</v>
      </c>
      <c r="D138" s="13">
        <v>45657</v>
      </c>
      <c r="E138" s="6" t="s">
        <v>1317</v>
      </c>
      <c r="F138" s="17" t="s">
        <v>1318</v>
      </c>
      <c r="G138" s="10">
        <v>31300</v>
      </c>
      <c r="H138" s="10"/>
      <c r="I138" s="10"/>
      <c r="J138" s="10"/>
      <c r="K138" s="10"/>
      <c r="L138" s="10"/>
      <c r="M138" s="10"/>
      <c r="N138" s="10"/>
      <c r="O138" s="10"/>
      <c r="P138" s="10">
        <v>31300</v>
      </c>
      <c r="Q138" s="10"/>
      <c r="R138" s="10"/>
      <c r="S138" s="10"/>
      <c r="T138" s="10"/>
      <c r="U138" s="10"/>
      <c r="V138" s="10"/>
      <c r="W138" s="10"/>
      <c r="X138" s="10"/>
      <c r="Y138" s="10">
        <v>31300</v>
      </c>
      <c r="Z138" s="10">
        <f t="shared" ref="Z138" si="148">SUM(Q138:Y138)</f>
        <v>31300</v>
      </c>
      <c r="AA138" s="10">
        <f t="shared" ref="AA138" si="149">G138-Z138</f>
        <v>0</v>
      </c>
      <c r="AB138" s="20"/>
    </row>
    <row r="139" spans="1:28" s="21" customFormat="1" ht="17.25" customHeight="1" x14ac:dyDescent="0.2">
      <c r="A139" s="7">
        <v>135</v>
      </c>
      <c r="B139" s="12" t="s">
        <v>1323</v>
      </c>
      <c r="C139" s="12" t="s">
        <v>553</v>
      </c>
      <c r="D139" s="13">
        <v>45657</v>
      </c>
      <c r="E139" s="6" t="s">
        <v>1324</v>
      </c>
      <c r="F139" s="17" t="s">
        <v>1325</v>
      </c>
      <c r="G139" s="10">
        <v>39000</v>
      </c>
      <c r="H139" s="10"/>
      <c r="I139" s="10"/>
      <c r="J139" s="10"/>
      <c r="K139" s="10"/>
      <c r="L139" s="10"/>
      <c r="M139" s="10"/>
      <c r="N139" s="10"/>
      <c r="O139" s="10"/>
      <c r="P139" s="10">
        <v>7800</v>
      </c>
      <c r="Q139" s="10"/>
      <c r="R139" s="10"/>
      <c r="S139" s="10"/>
      <c r="T139" s="10"/>
      <c r="U139" s="10"/>
      <c r="V139" s="10"/>
      <c r="W139" s="10"/>
      <c r="X139" s="10"/>
      <c r="Y139" s="10">
        <v>7800</v>
      </c>
      <c r="Z139" s="10">
        <f t="shared" ref="Z139" si="150">SUM(Q139:Y139)</f>
        <v>7800</v>
      </c>
      <c r="AA139" s="10">
        <f t="shared" ref="AA139" si="151">G139-Z139</f>
        <v>31200</v>
      </c>
      <c r="AB139" s="20"/>
    </row>
    <row r="140" spans="1:28" s="21" customFormat="1" ht="17.25" customHeight="1" x14ac:dyDescent="0.2">
      <c r="A140" s="7">
        <v>136</v>
      </c>
      <c r="B140" s="12" t="s">
        <v>1326</v>
      </c>
      <c r="C140" s="12" t="s">
        <v>1327</v>
      </c>
      <c r="D140" s="13">
        <v>45657</v>
      </c>
      <c r="E140" s="6" t="s">
        <v>1328</v>
      </c>
      <c r="F140" s="17" t="s">
        <v>1329</v>
      </c>
      <c r="G140" s="10">
        <v>8381.31</v>
      </c>
      <c r="H140" s="10"/>
      <c r="I140" s="10"/>
      <c r="J140" s="10">
        <v>8381.31</v>
      </c>
      <c r="K140" s="10"/>
      <c r="L140" s="10"/>
      <c r="M140" s="10"/>
      <c r="N140" s="10"/>
      <c r="O140" s="10"/>
      <c r="P140" s="10"/>
      <c r="Q140" s="10"/>
      <c r="R140" s="10"/>
      <c r="S140" s="10">
        <v>8381.31</v>
      </c>
      <c r="T140" s="10"/>
      <c r="U140" s="10"/>
      <c r="V140" s="10"/>
      <c r="W140" s="10"/>
      <c r="X140" s="10"/>
      <c r="Y140" s="10"/>
      <c r="Z140" s="10">
        <f t="shared" ref="Z140" si="152">SUM(Q140:Y140)</f>
        <v>8381.31</v>
      </c>
      <c r="AA140" s="10">
        <f t="shared" ref="AA140" si="153">G140-Z140</f>
        <v>0</v>
      </c>
      <c r="AB140" s="20"/>
    </row>
    <row r="141" spans="1:28" s="21" customFormat="1" ht="27" customHeight="1" x14ac:dyDescent="0.2">
      <c r="A141" s="7">
        <v>137</v>
      </c>
      <c r="B141" s="12" t="s">
        <v>1330</v>
      </c>
      <c r="C141" s="12" t="s">
        <v>896</v>
      </c>
      <c r="D141" s="13">
        <v>45657</v>
      </c>
      <c r="E141" s="6" t="s">
        <v>804</v>
      </c>
      <c r="F141" s="17" t="s">
        <v>1331</v>
      </c>
      <c r="G141" s="10">
        <v>31546</v>
      </c>
      <c r="H141" s="10"/>
      <c r="I141" s="10"/>
      <c r="J141" s="10"/>
      <c r="K141" s="10"/>
      <c r="L141" s="10"/>
      <c r="M141" s="10"/>
      <c r="N141" s="10"/>
      <c r="O141" s="10"/>
      <c r="P141" s="10">
        <v>31546</v>
      </c>
      <c r="Q141" s="10"/>
      <c r="R141" s="10"/>
      <c r="S141" s="10"/>
      <c r="T141" s="10"/>
      <c r="U141" s="10"/>
      <c r="V141" s="10"/>
      <c r="W141" s="10"/>
      <c r="X141" s="10"/>
      <c r="Y141" s="10">
        <v>31546</v>
      </c>
      <c r="Z141" s="10">
        <f t="shared" ref="Z141" si="154">SUM(Q141:Y141)</f>
        <v>31546</v>
      </c>
      <c r="AA141" s="10">
        <f t="shared" ref="AA141" si="155">G141-Z141</f>
        <v>0</v>
      </c>
      <c r="AB141" s="20"/>
    </row>
    <row r="142" spans="1:28" s="21" customFormat="1" ht="27" customHeight="1" x14ac:dyDescent="0.2">
      <c r="A142" s="7">
        <v>138</v>
      </c>
      <c r="B142" s="12" t="s">
        <v>1334</v>
      </c>
      <c r="C142" s="12" t="s">
        <v>724</v>
      </c>
      <c r="D142" s="13">
        <v>45657</v>
      </c>
      <c r="E142" s="6" t="s">
        <v>1335</v>
      </c>
      <c r="F142" s="17" t="s">
        <v>245</v>
      </c>
      <c r="G142" s="10">
        <v>144862</v>
      </c>
      <c r="H142" s="10"/>
      <c r="I142" s="10"/>
      <c r="J142" s="10"/>
      <c r="K142" s="10"/>
      <c r="L142" s="10"/>
      <c r="M142" s="10"/>
      <c r="N142" s="10"/>
      <c r="O142" s="10"/>
      <c r="P142" s="10">
        <f>12585.01+7485</f>
        <v>20070.010000000002</v>
      </c>
      <c r="Q142" s="10"/>
      <c r="R142" s="10"/>
      <c r="S142" s="10"/>
      <c r="T142" s="10"/>
      <c r="U142" s="10"/>
      <c r="V142" s="10"/>
      <c r="W142" s="10"/>
      <c r="X142" s="10"/>
      <c r="Y142" s="10">
        <f>12585.01+7485</f>
        <v>20070.010000000002</v>
      </c>
      <c r="Z142" s="10">
        <f t="shared" ref="Z142" si="156">SUM(Q142:Y142)</f>
        <v>20070.010000000002</v>
      </c>
      <c r="AA142" s="10">
        <f t="shared" ref="AA142" si="157">G142-Z142</f>
        <v>124791.98999999999</v>
      </c>
      <c r="AB142" s="20"/>
    </row>
    <row r="143" spans="1:28" s="21" customFormat="1" ht="27" customHeight="1" x14ac:dyDescent="0.2">
      <c r="A143" s="7">
        <v>139</v>
      </c>
      <c r="B143" s="12" t="s">
        <v>1336</v>
      </c>
      <c r="C143" s="12" t="s">
        <v>861</v>
      </c>
      <c r="D143" s="13">
        <v>45657</v>
      </c>
      <c r="E143" s="6" t="s">
        <v>1337</v>
      </c>
      <c r="F143" s="17" t="s">
        <v>245</v>
      </c>
      <c r="G143" s="10">
        <v>26400</v>
      </c>
      <c r="H143" s="10"/>
      <c r="I143" s="10"/>
      <c r="J143" s="10"/>
      <c r="K143" s="10"/>
      <c r="L143" s="10"/>
      <c r="M143" s="10"/>
      <c r="N143" s="10"/>
      <c r="O143" s="10"/>
      <c r="P143" s="10">
        <f>13200</f>
        <v>13200</v>
      </c>
      <c r="Q143" s="10"/>
      <c r="R143" s="10"/>
      <c r="S143" s="10"/>
      <c r="T143" s="10"/>
      <c r="U143" s="10"/>
      <c r="V143" s="10"/>
      <c r="W143" s="10"/>
      <c r="X143" s="10"/>
      <c r="Y143" s="10">
        <f>13200</f>
        <v>13200</v>
      </c>
      <c r="Z143" s="10">
        <f t="shared" ref="Z143" si="158">SUM(Q143:Y143)</f>
        <v>13200</v>
      </c>
      <c r="AA143" s="10">
        <f t="shared" ref="AA143" si="159">G143-Z143</f>
        <v>13200</v>
      </c>
      <c r="AB143" s="20"/>
    </row>
    <row r="144" spans="1:28" s="21" customFormat="1" ht="20.25" customHeight="1" x14ac:dyDescent="0.2">
      <c r="A144" s="7">
        <v>140</v>
      </c>
      <c r="B144" s="12" t="s">
        <v>1338</v>
      </c>
      <c r="C144" s="12" t="s">
        <v>1466</v>
      </c>
      <c r="D144" s="13">
        <v>45657</v>
      </c>
      <c r="E144" s="6" t="s">
        <v>177</v>
      </c>
      <c r="F144" s="17" t="s">
        <v>1339</v>
      </c>
      <c r="G144" s="10">
        <v>64200</v>
      </c>
      <c r="H144" s="10"/>
      <c r="I144" s="10"/>
      <c r="J144" s="10"/>
      <c r="K144" s="10"/>
      <c r="L144" s="10"/>
      <c r="M144" s="10"/>
      <c r="N144" s="10"/>
      <c r="O144" s="10"/>
      <c r="P144" s="10">
        <f>12305+12305</f>
        <v>24610</v>
      </c>
      <c r="Q144" s="10"/>
      <c r="R144" s="10"/>
      <c r="S144" s="10"/>
      <c r="T144" s="10"/>
      <c r="U144" s="10"/>
      <c r="V144" s="10"/>
      <c r="W144" s="10"/>
      <c r="X144" s="10"/>
      <c r="Y144" s="10">
        <f>12305+12305</f>
        <v>24610</v>
      </c>
      <c r="Z144" s="10">
        <f t="shared" ref="Z144" si="160">SUM(Q144:Y144)</f>
        <v>24610</v>
      </c>
      <c r="AA144" s="10">
        <f t="shared" ref="AA144" si="161">G144-Z144</f>
        <v>39590</v>
      </c>
      <c r="AB144" s="20"/>
    </row>
    <row r="145" spans="1:28" s="21" customFormat="1" ht="20.25" customHeight="1" x14ac:dyDescent="0.2">
      <c r="A145" s="7">
        <v>141</v>
      </c>
      <c r="B145" s="12" t="s">
        <v>1350</v>
      </c>
      <c r="C145" s="12" t="s">
        <v>1349</v>
      </c>
      <c r="D145" s="13">
        <v>45657</v>
      </c>
      <c r="E145" s="6" t="s">
        <v>691</v>
      </c>
      <c r="F145" s="17" t="s">
        <v>239</v>
      </c>
      <c r="G145" s="10">
        <v>4612.38</v>
      </c>
      <c r="H145" s="10"/>
      <c r="I145" s="10"/>
      <c r="J145" s="10"/>
      <c r="K145" s="10"/>
      <c r="L145" s="10"/>
      <c r="M145" s="10"/>
      <c r="N145" s="10"/>
      <c r="O145" s="10"/>
      <c r="P145" s="10">
        <v>4612.38</v>
      </c>
      <c r="Q145" s="10"/>
      <c r="R145" s="10"/>
      <c r="S145" s="10"/>
      <c r="T145" s="10"/>
      <c r="U145" s="10"/>
      <c r="V145" s="10"/>
      <c r="W145" s="10"/>
      <c r="X145" s="10"/>
      <c r="Y145" s="10">
        <v>4612.38</v>
      </c>
      <c r="Z145" s="10">
        <f t="shared" ref="Z145" si="162">SUM(Q145:Y145)</f>
        <v>4612.38</v>
      </c>
      <c r="AA145" s="10">
        <f t="shared" ref="AA145" si="163">G145-Z145</f>
        <v>0</v>
      </c>
      <c r="AB145" s="20"/>
    </row>
    <row r="146" spans="1:28" s="21" customFormat="1" ht="17.25" customHeight="1" x14ac:dyDescent="0.2">
      <c r="A146" s="7">
        <v>142</v>
      </c>
      <c r="B146" s="12" t="s">
        <v>1356</v>
      </c>
      <c r="C146" s="12" t="s">
        <v>1357</v>
      </c>
      <c r="D146" s="13">
        <v>45657</v>
      </c>
      <c r="E146" s="6" t="s">
        <v>1358</v>
      </c>
      <c r="F146" s="17" t="s">
        <v>1314</v>
      </c>
      <c r="G146" s="10">
        <v>8508</v>
      </c>
      <c r="H146" s="10"/>
      <c r="I146" s="10"/>
      <c r="J146" s="10"/>
      <c r="K146" s="10"/>
      <c r="L146" s="10"/>
      <c r="M146" s="10"/>
      <c r="N146" s="10"/>
      <c r="O146" s="10"/>
      <c r="P146" s="10">
        <v>8508</v>
      </c>
      <c r="Q146" s="10"/>
      <c r="R146" s="10"/>
      <c r="S146" s="10"/>
      <c r="T146" s="10"/>
      <c r="U146" s="10"/>
      <c r="V146" s="10"/>
      <c r="W146" s="10"/>
      <c r="X146" s="10"/>
      <c r="Y146" s="10">
        <v>8508</v>
      </c>
      <c r="Z146" s="10">
        <f t="shared" ref="Z146" si="164">SUM(Q146:Y146)</f>
        <v>8508</v>
      </c>
      <c r="AA146" s="10">
        <f t="shared" ref="AA146" si="165">G146-Z146</f>
        <v>0</v>
      </c>
      <c r="AB146" s="20"/>
    </row>
    <row r="147" spans="1:28" s="21" customFormat="1" ht="26.25" customHeight="1" x14ac:dyDescent="0.2">
      <c r="A147" s="7">
        <v>143</v>
      </c>
      <c r="B147" s="12" t="s">
        <v>1368</v>
      </c>
      <c r="C147" s="12" t="s">
        <v>1347</v>
      </c>
      <c r="D147" s="13">
        <v>45657</v>
      </c>
      <c r="E147" s="6" t="s">
        <v>1369</v>
      </c>
      <c r="F147" s="17" t="s">
        <v>1370</v>
      </c>
      <c r="G147" s="10">
        <v>654090</v>
      </c>
      <c r="H147" s="10"/>
      <c r="I147" s="10"/>
      <c r="J147" s="10"/>
      <c r="K147" s="10"/>
      <c r="L147" s="10"/>
      <c r="M147" s="10"/>
      <c r="N147" s="10"/>
      <c r="O147" s="10"/>
      <c r="P147" s="10">
        <v>115074</v>
      </c>
      <c r="Q147" s="10"/>
      <c r="R147" s="10"/>
      <c r="S147" s="10"/>
      <c r="T147" s="10"/>
      <c r="U147" s="10"/>
      <c r="V147" s="10"/>
      <c r="W147" s="10"/>
      <c r="X147" s="10"/>
      <c r="Y147" s="10">
        <v>115074</v>
      </c>
      <c r="Z147" s="10">
        <f t="shared" ref="Z147" si="166">SUM(Q147:Y147)</f>
        <v>115074</v>
      </c>
      <c r="AA147" s="10">
        <f t="shared" ref="AA147" si="167">G147-Z147</f>
        <v>539016</v>
      </c>
      <c r="AB147" s="20"/>
    </row>
    <row r="148" spans="1:28" s="21" customFormat="1" ht="39.75" customHeight="1" x14ac:dyDescent="0.2">
      <c r="A148" s="7">
        <v>144</v>
      </c>
      <c r="B148" s="12" t="s">
        <v>1382</v>
      </c>
      <c r="C148" s="12" t="s">
        <v>724</v>
      </c>
      <c r="D148" s="13">
        <v>45657</v>
      </c>
      <c r="E148" s="6" t="s">
        <v>1384</v>
      </c>
      <c r="F148" s="17" t="s">
        <v>1383</v>
      </c>
      <c r="G148" s="10">
        <v>1076182</v>
      </c>
      <c r="H148" s="10"/>
      <c r="I148" s="10"/>
      <c r="J148" s="10"/>
      <c r="K148" s="10"/>
      <c r="L148" s="10"/>
      <c r="M148" s="10"/>
      <c r="N148" s="10"/>
      <c r="O148" s="10"/>
      <c r="P148" s="10">
        <f>123800+139640+157382</f>
        <v>420822</v>
      </c>
      <c r="Q148" s="10"/>
      <c r="R148" s="10"/>
      <c r="S148" s="10"/>
      <c r="T148" s="10"/>
      <c r="U148" s="10"/>
      <c r="V148" s="10"/>
      <c r="W148" s="10"/>
      <c r="X148" s="10"/>
      <c r="Y148" s="10">
        <f>123800+139640+157382</f>
        <v>420822</v>
      </c>
      <c r="Z148" s="10">
        <f t="shared" ref="Z148" si="168">SUM(Q148:Y148)</f>
        <v>420822</v>
      </c>
      <c r="AA148" s="10">
        <f t="shared" ref="AA148" si="169">G148-Z148</f>
        <v>655360</v>
      </c>
      <c r="AB148" s="20"/>
    </row>
    <row r="149" spans="1:28" s="21" customFormat="1" ht="16.5" customHeight="1" x14ac:dyDescent="0.2">
      <c r="A149" s="7">
        <v>145</v>
      </c>
      <c r="B149" s="12" t="s">
        <v>1394</v>
      </c>
      <c r="C149" s="12" t="s">
        <v>1262</v>
      </c>
      <c r="D149" s="13">
        <v>45657</v>
      </c>
      <c r="E149" s="6" t="s">
        <v>468</v>
      </c>
      <c r="F149" s="17" t="s">
        <v>1395</v>
      </c>
      <c r="G149" s="10">
        <v>1720</v>
      </c>
      <c r="H149" s="10"/>
      <c r="I149" s="10"/>
      <c r="J149" s="10"/>
      <c r="K149" s="10"/>
      <c r="L149" s="10"/>
      <c r="M149" s="10"/>
      <c r="N149" s="10"/>
      <c r="O149" s="10"/>
      <c r="P149" s="10">
        <v>1720</v>
      </c>
      <c r="Q149" s="10"/>
      <c r="R149" s="10"/>
      <c r="S149" s="10"/>
      <c r="T149" s="10"/>
      <c r="U149" s="10"/>
      <c r="V149" s="10"/>
      <c r="W149" s="10"/>
      <c r="X149" s="10"/>
      <c r="Y149" s="10">
        <v>1720</v>
      </c>
      <c r="Z149" s="10">
        <f t="shared" ref="Z149" si="170">SUM(Q149:Y149)</f>
        <v>1720</v>
      </c>
      <c r="AA149" s="10">
        <f t="shared" ref="AA149" si="171">G149-Z149</f>
        <v>0</v>
      </c>
      <c r="AB149" s="20"/>
    </row>
    <row r="150" spans="1:28" s="21" customFormat="1" ht="25.5" customHeight="1" x14ac:dyDescent="0.2">
      <c r="A150" s="7">
        <v>146</v>
      </c>
      <c r="B150" s="12" t="s">
        <v>1398</v>
      </c>
      <c r="C150" s="12" t="s">
        <v>651</v>
      </c>
      <c r="D150" s="13">
        <v>45657</v>
      </c>
      <c r="E150" s="6" t="s">
        <v>1399</v>
      </c>
      <c r="F150" s="17" t="s">
        <v>245</v>
      </c>
      <c r="G150" s="10">
        <v>1193176.8</v>
      </c>
      <c r="H150" s="10"/>
      <c r="I150" s="10"/>
      <c r="J150" s="10"/>
      <c r="K150" s="10"/>
      <c r="L150" s="10"/>
      <c r="M150" s="10"/>
      <c r="N150" s="10"/>
      <c r="O150" s="10"/>
      <c r="P150" s="10">
        <f>157161.6+114300</f>
        <v>271461.59999999998</v>
      </c>
      <c r="Q150" s="10"/>
      <c r="R150" s="10"/>
      <c r="S150" s="10"/>
      <c r="T150" s="10"/>
      <c r="U150" s="10"/>
      <c r="V150" s="10"/>
      <c r="W150" s="10"/>
      <c r="X150" s="10"/>
      <c r="Y150" s="10">
        <f>157161.6+114300</f>
        <v>271461.59999999998</v>
      </c>
      <c r="Z150" s="10">
        <f t="shared" ref="Z150" si="172">SUM(Q150:Y150)</f>
        <v>271461.59999999998</v>
      </c>
      <c r="AA150" s="10">
        <f t="shared" ref="AA150" si="173">G150-Z150</f>
        <v>921715.20000000007</v>
      </c>
      <c r="AB150" s="20"/>
    </row>
    <row r="151" spans="1:28" s="21" customFormat="1" ht="25.5" customHeight="1" x14ac:dyDescent="0.2">
      <c r="A151" s="7">
        <v>147</v>
      </c>
      <c r="B151" s="12" t="s">
        <v>1404</v>
      </c>
      <c r="C151" s="12" t="s">
        <v>1405</v>
      </c>
      <c r="D151" s="13">
        <v>45657</v>
      </c>
      <c r="E151" s="6" t="s">
        <v>408</v>
      </c>
      <c r="F151" s="17" t="s">
        <v>1406</v>
      </c>
      <c r="G151" s="10">
        <v>10588.12</v>
      </c>
      <c r="H151" s="10"/>
      <c r="I151" s="10"/>
      <c r="J151" s="10"/>
      <c r="K151" s="10">
        <v>10588.12</v>
      </c>
      <c r="L151" s="10"/>
      <c r="M151" s="10"/>
      <c r="N151" s="10"/>
      <c r="O151" s="10"/>
      <c r="P151" s="10"/>
      <c r="Q151" s="10"/>
      <c r="R151" s="10"/>
      <c r="S151" s="10"/>
      <c r="T151" s="10">
        <v>10588.12</v>
      </c>
      <c r="U151" s="10"/>
      <c r="V151" s="10"/>
      <c r="W151" s="10"/>
      <c r="X151" s="10"/>
      <c r="Y151" s="10"/>
      <c r="Z151" s="10">
        <f t="shared" ref="Z151" si="174">SUM(Q151:Y151)</f>
        <v>10588.12</v>
      </c>
      <c r="AA151" s="10">
        <f t="shared" ref="AA151" si="175">G151-Z151</f>
        <v>0</v>
      </c>
      <c r="AB151" s="20"/>
    </row>
    <row r="152" spans="1:28" s="21" customFormat="1" ht="17.25" customHeight="1" x14ac:dyDescent="0.2">
      <c r="A152" s="7">
        <v>148</v>
      </c>
      <c r="B152" s="12" t="s">
        <v>918</v>
      </c>
      <c r="C152" s="13">
        <v>45495</v>
      </c>
      <c r="D152" s="13">
        <v>45657</v>
      </c>
      <c r="E152" s="6" t="s">
        <v>1420</v>
      </c>
      <c r="F152" s="17" t="s">
        <v>1409</v>
      </c>
      <c r="G152" s="10">
        <v>70000</v>
      </c>
      <c r="H152" s="10"/>
      <c r="I152" s="10"/>
      <c r="J152" s="10"/>
      <c r="K152" s="10"/>
      <c r="L152" s="10"/>
      <c r="M152" s="10"/>
      <c r="N152" s="10"/>
      <c r="O152" s="10"/>
      <c r="P152" s="10">
        <f>2362.14+670.56+760.8+147.6+1873.68+7803.84+3143.76+4347.89+1868.88+2352+2734.2+3186.48+3468.48+3039.6</f>
        <v>37759.909999999996</v>
      </c>
      <c r="Q152" s="10"/>
      <c r="R152" s="10"/>
      <c r="S152" s="10"/>
      <c r="T152" s="10"/>
      <c r="U152" s="10"/>
      <c r="V152" s="10"/>
      <c r="W152" s="10"/>
      <c r="X152" s="10"/>
      <c r="Y152" s="10">
        <f>2362.14+670.56+760.8+147.6+1873.68+7803.84+3143.76+4347.89+1868.88+2352+2734.2+3186.48+3468.48+3039.6</f>
        <v>37759.909999999996</v>
      </c>
      <c r="Z152" s="10">
        <f t="shared" ref="Z152" si="176">SUM(Q152:Y152)</f>
        <v>37759.909999999996</v>
      </c>
      <c r="AA152" s="10">
        <f t="shared" ref="AA152" si="177">G152-Z152</f>
        <v>32240.090000000004</v>
      </c>
      <c r="AB152" s="20"/>
    </row>
    <row r="153" spans="1:28" s="21" customFormat="1" ht="26.25" customHeight="1" x14ac:dyDescent="0.2">
      <c r="A153" s="7">
        <v>149</v>
      </c>
      <c r="B153" s="12" t="s">
        <v>1433</v>
      </c>
      <c r="C153" s="13">
        <v>45484</v>
      </c>
      <c r="D153" s="13">
        <v>45657</v>
      </c>
      <c r="E153" s="6" t="s">
        <v>1434</v>
      </c>
      <c r="F153" s="17" t="s">
        <v>239</v>
      </c>
      <c r="G153" s="10">
        <v>28145</v>
      </c>
      <c r="H153" s="10"/>
      <c r="I153" s="10"/>
      <c r="J153" s="10"/>
      <c r="K153" s="10"/>
      <c r="L153" s="10"/>
      <c r="M153" s="10"/>
      <c r="N153" s="10"/>
      <c r="O153" s="10"/>
      <c r="P153" s="10">
        <v>2639</v>
      </c>
      <c r="Q153" s="10"/>
      <c r="R153" s="10"/>
      <c r="S153" s="10"/>
      <c r="T153" s="10"/>
      <c r="U153" s="10"/>
      <c r="V153" s="10"/>
      <c r="W153" s="10"/>
      <c r="X153" s="10"/>
      <c r="Y153" s="10">
        <v>2639</v>
      </c>
      <c r="Z153" s="10">
        <f t="shared" ref="Z153" si="178">SUM(Q153:Y153)</f>
        <v>2639</v>
      </c>
      <c r="AA153" s="10">
        <f t="shared" ref="AA153" si="179">G153-Z153</f>
        <v>25506</v>
      </c>
      <c r="AB153" s="20"/>
    </row>
    <row r="154" spans="1:28" s="21" customFormat="1" ht="19.5" customHeight="1" x14ac:dyDescent="0.2">
      <c r="A154" s="7">
        <v>150</v>
      </c>
      <c r="B154" s="12" t="s">
        <v>1445</v>
      </c>
      <c r="C154" s="13">
        <v>45602</v>
      </c>
      <c r="D154" s="13">
        <v>45657</v>
      </c>
      <c r="E154" s="6" t="s">
        <v>183</v>
      </c>
      <c r="F154" s="17" t="s">
        <v>1446</v>
      </c>
      <c r="G154" s="10">
        <v>5000</v>
      </c>
      <c r="H154" s="10"/>
      <c r="I154" s="10"/>
      <c r="J154" s="10"/>
      <c r="K154" s="10">
        <v>5000</v>
      </c>
      <c r="L154" s="10"/>
      <c r="M154" s="10"/>
      <c r="N154" s="10"/>
      <c r="O154" s="10"/>
      <c r="P154" s="10"/>
      <c r="Q154" s="10"/>
      <c r="R154" s="10"/>
      <c r="S154" s="10"/>
      <c r="T154" s="10">
        <v>5000</v>
      </c>
      <c r="U154" s="10"/>
      <c r="V154" s="10"/>
      <c r="W154" s="10"/>
      <c r="X154" s="10"/>
      <c r="Y154" s="10"/>
      <c r="Z154" s="10">
        <f t="shared" ref="Z154" si="180">SUM(Q154:Y154)</f>
        <v>5000</v>
      </c>
      <c r="AA154" s="10">
        <f t="shared" ref="AA154" si="181">G154-Z154</f>
        <v>0</v>
      </c>
      <c r="AB154" s="20"/>
    </row>
    <row r="155" spans="1:28" s="21" customFormat="1" ht="19.5" customHeight="1" x14ac:dyDescent="0.2">
      <c r="A155" s="7">
        <v>151</v>
      </c>
      <c r="B155" s="12" t="s">
        <v>1450</v>
      </c>
      <c r="C155" s="13">
        <v>45602</v>
      </c>
      <c r="D155" s="13">
        <v>45657</v>
      </c>
      <c r="E155" s="6" t="s">
        <v>270</v>
      </c>
      <c r="F155" s="17" t="s">
        <v>1451</v>
      </c>
      <c r="G155" s="10">
        <v>570</v>
      </c>
      <c r="H155" s="10"/>
      <c r="I155" s="10"/>
      <c r="J155" s="10"/>
      <c r="K155" s="10"/>
      <c r="L155" s="10"/>
      <c r="M155" s="10"/>
      <c r="N155" s="10"/>
      <c r="O155" s="10"/>
      <c r="P155" s="10">
        <v>570</v>
      </c>
      <c r="Q155" s="10"/>
      <c r="R155" s="10"/>
      <c r="S155" s="10"/>
      <c r="T155" s="10"/>
      <c r="U155" s="10"/>
      <c r="V155" s="10"/>
      <c r="W155" s="10"/>
      <c r="X155" s="10"/>
      <c r="Y155" s="10">
        <v>570</v>
      </c>
      <c r="Z155" s="10">
        <f t="shared" ref="Z155" si="182">SUM(Q155:Y155)</f>
        <v>570</v>
      </c>
      <c r="AA155" s="10">
        <f t="shared" ref="AA155" si="183">G155-Z155</f>
        <v>0</v>
      </c>
      <c r="AB155" s="20"/>
    </row>
    <row r="156" spans="1:28" s="21" customFormat="1" ht="19.5" customHeight="1" x14ac:dyDescent="0.2">
      <c r="A156" s="7">
        <v>152</v>
      </c>
      <c r="B156" s="12" t="s">
        <v>1457</v>
      </c>
      <c r="C156" s="13">
        <v>45576</v>
      </c>
      <c r="D156" s="13">
        <v>45657</v>
      </c>
      <c r="E156" s="6" t="s">
        <v>183</v>
      </c>
      <c r="F156" s="17" t="s">
        <v>1458</v>
      </c>
      <c r="G156" s="10">
        <v>14800</v>
      </c>
      <c r="H156" s="10"/>
      <c r="I156" s="10"/>
      <c r="J156" s="10"/>
      <c r="K156" s="10"/>
      <c r="L156" s="10"/>
      <c r="M156" s="10"/>
      <c r="N156" s="10"/>
      <c r="O156" s="10"/>
      <c r="P156" s="10">
        <v>14800</v>
      </c>
      <c r="Q156" s="10"/>
      <c r="R156" s="10"/>
      <c r="S156" s="10"/>
      <c r="T156" s="10"/>
      <c r="U156" s="10"/>
      <c r="V156" s="10"/>
      <c r="W156" s="10"/>
      <c r="X156" s="10"/>
      <c r="Y156" s="10">
        <v>14800</v>
      </c>
      <c r="Z156" s="10">
        <f t="shared" ref="Z156" si="184">SUM(Q156:Y156)</f>
        <v>14800</v>
      </c>
      <c r="AA156" s="10">
        <f t="shared" ref="AA156" si="185">G156-Z156</f>
        <v>0</v>
      </c>
      <c r="AB156" s="20"/>
    </row>
    <row r="157" spans="1:28" s="21" customFormat="1" ht="19.5" customHeight="1" x14ac:dyDescent="0.2">
      <c r="A157" s="7">
        <v>153</v>
      </c>
      <c r="B157" s="12" t="s">
        <v>1462</v>
      </c>
      <c r="C157" s="13">
        <v>45601</v>
      </c>
      <c r="D157" s="13">
        <v>45657</v>
      </c>
      <c r="E157" s="6" t="s">
        <v>84</v>
      </c>
      <c r="F157" s="17" t="s">
        <v>85</v>
      </c>
      <c r="G157" s="10">
        <v>4400</v>
      </c>
      <c r="H157" s="10"/>
      <c r="I157" s="10"/>
      <c r="J157" s="10"/>
      <c r="K157" s="10"/>
      <c r="L157" s="10">
        <v>4400</v>
      </c>
      <c r="M157" s="10"/>
      <c r="N157" s="10"/>
      <c r="O157" s="10"/>
      <c r="P157" s="10"/>
      <c r="Q157" s="10"/>
      <c r="R157" s="10"/>
      <c r="S157" s="10"/>
      <c r="T157" s="10"/>
      <c r="U157" s="10">
        <v>4400</v>
      </c>
      <c r="V157" s="10"/>
      <c r="W157" s="10"/>
      <c r="X157" s="10"/>
      <c r="Y157" s="10"/>
      <c r="Z157" s="10">
        <f t="shared" ref="Z157" si="186">SUM(Q157:Y157)</f>
        <v>4400</v>
      </c>
      <c r="AA157" s="10">
        <f t="shared" ref="AA157" si="187">G157-Z157</f>
        <v>0</v>
      </c>
      <c r="AB157" s="20"/>
    </row>
    <row r="158" spans="1:28" s="21" customFormat="1" ht="26.25" customHeight="1" x14ac:dyDescent="0.2">
      <c r="A158" s="7">
        <v>154</v>
      </c>
      <c r="B158" s="12" t="s">
        <v>1467</v>
      </c>
      <c r="C158" s="13">
        <v>45495</v>
      </c>
      <c r="D158" s="13">
        <v>45657</v>
      </c>
      <c r="E158" s="6" t="s">
        <v>1468</v>
      </c>
      <c r="F158" s="17" t="s">
        <v>239</v>
      </c>
      <c r="G158" s="10">
        <v>12914.47</v>
      </c>
      <c r="H158" s="10"/>
      <c r="I158" s="10"/>
      <c r="J158" s="10"/>
      <c r="K158" s="10"/>
      <c r="L158" s="10"/>
      <c r="M158" s="10"/>
      <c r="N158" s="10"/>
      <c r="O158" s="10"/>
      <c r="P158" s="10">
        <f>2152.41+4304.82</f>
        <v>6457.23</v>
      </c>
      <c r="Q158" s="10"/>
      <c r="R158" s="10"/>
      <c r="S158" s="10"/>
      <c r="T158" s="10"/>
      <c r="U158" s="10"/>
      <c r="V158" s="10"/>
      <c r="W158" s="10"/>
      <c r="X158" s="10"/>
      <c r="Y158" s="10">
        <f>2152.41+4304.82</f>
        <v>6457.23</v>
      </c>
      <c r="Z158" s="10">
        <f t="shared" ref="Z158" si="188">SUM(Q158:Y158)</f>
        <v>6457.23</v>
      </c>
      <c r="AA158" s="10">
        <f t="shared" ref="AA158" si="189">G158-Z158</f>
        <v>6457.24</v>
      </c>
      <c r="AB158" s="20"/>
    </row>
    <row r="159" spans="1:28" s="21" customFormat="1" ht="41.25" customHeight="1" x14ac:dyDescent="0.2">
      <c r="A159" s="7">
        <v>155</v>
      </c>
      <c r="B159" s="12" t="s">
        <v>1469</v>
      </c>
      <c r="C159" s="13">
        <v>45566</v>
      </c>
      <c r="D159" s="13">
        <v>45657</v>
      </c>
      <c r="E159" s="6" t="s">
        <v>1470</v>
      </c>
      <c r="F159" s="6" t="s">
        <v>245</v>
      </c>
      <c r="G159" s="10">
        <v>78645</v>
      </c>
      <c r="H159" s="10"/>
      <c r="I159" s="10"/>
      <c r="J159" s="10"/>
      <c r="K159" s="10"/>
      <c r="L159" s="10"/>
      <c r="M159" s="10"/>
      <c r="N159" s="10"/>
      <c r="O159" s="10"/>
      <c r="P159" s="10">
        <v>15729</v>
      </c>
      <c r="Q159" s="10"/>
      <c r="R159" s="10"/>
      <c r="S159" s="10"/>
      <c r="T159" s="10"/>
      <c r="U159" s="10"/>
      <c r="V159" s="10"/>
      <c r="W159" s="10"/>
      <c r="X159" s="10"/>
      <c r="Y159" s="10">
        <v>15729</v>
      </c>
      <c r="Z159" s="10">
        <f t="shared" ref="Z159" si="190">SUM(Q159:Y159)</f>
        <v>15729</v>
      </c>
      <c r="AA159" s="10">
        <f t="shared" ref="AA159" si="191">G159-Z159</f>
        <v>62916</v>
      </c>
      <c r="AB159" s="20"/>
    </row>
    <row r="160" spans="1:28" s="21" customFormat="1" ht="21.75" customHeight="1" x14ac:dyDescent="0.2">
      <c r="A160" s="7">
        <v>156</v>
      </c>
      <c r="B160" s="12" t="s">
        <v>1472</v>
      </c>
      <c r="C160" s="13">
        <v>45565</v>
      </c>
      <c r="D160" s="13">
        <v>45657</v>
      </c>
      <c r="E160" s="6" t="s">
        <v>1473</v>
      </c>
      <c r="F160" s="6" t="s">
        <v>1474</v>
      </c>
      <c r="G160" s="10">
        <v>22898</v>
      </c>
      <c r="H160" s="10"/>
      <c r="I160" s="10"/>
      <c r="J160" s="10"/>
      <c r="K160" s="10"/>
      <c r="L160" s="10"/>
      <c r="M160" s="10"/>
      <c r="N160" s="10"/>
      <c r="O160" s="10"/>
      <c r="P160" s="10">
        <f>11449</f>
        <v>11449</v>
      </c>
      <c r="Q160" s="10"/>
      <c r="R160" s="10"/>
      <c r="S160" s="10"/>
      <c r="T160" s="10"/>
      <c r="U160" s="10"/>
      <c r="V160" s="10"/>
      <c r="W160" s="10"/>
      <c r="X160" s="10"/>
      <c r="Y160" s="10">
        <f>11449</f>
        <v>11449</v>
      </c>
      <c r="Z160" s="10">
        <f t="shared" ref="Z160" si="192">SUM(Q160:Y160)</f>
        <v>11449</v>
      </c>
      <c r="AA160" s="10">
        <f t="shared" ref="AA160" si="193">G160-Z160</f>
        <v>11449</v>
      </c>
      <c r="AB160" s="20"/>
    </row>
    <row r="161" spans="1:28" s="21" customFormat="1" ht="22.5" customHeight="1" x14ac:dyDescent="0.2">
      <c r="A161" s="7"/>
      <c r="B161" s="12"/>
      <c r="C161" s="13"/>
      <c r="D161" s="13"/>
      <c r="E161" s="6"/>
      <c r="F161" s="6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20"/>
    </row>
    <row r="162" spans="1:28" s="21" customFormat="1" ht="12.75" x14ac:dyDescent="0.2">
      <c r="A162" s="7"/>
      <c r="B162" s="12"/>
      <c r="C162" s="13"/>
      <c r="D162" s="13"/>
      <c r="E162" s="6"/>
      <c r="F162" s="6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20"/>
    </row>
    <row r="163" spans="1:28" s="21" customFormat="1" ht="15.75" customHeight="1" x14ac:dyDescent="0.2">
      <c r="A163" s="62" t="s">
        <v>15</v>
      </c>
      <c r="B163" s="62"/>
      <c r="C163" s="62"/>
      <c r="D163" s="62"/>
      <c r="E163" s="62"/>
      <c r="F163" s="62"/>
      <c r="G163" s="16">
        <f>SUM(G5:G162)</f>
        <v>31374208.110000003</v>
      </c>
      <c r="H163" s="16">
        <f t="shared" ref="H163:AA163" si="194">SUM(H5:H162)</f>
        <v>176404.25</v>
      </c>
      <c r="I163" s="16">
        <f t="shared" si="194"/>
        <v>150393.72</v>
      </c>
      <c r="J163" s="16"/>
      <c r="K163" s="16">
        <f t="shared" si="194"/>
        <v>138827.6</v>
      </c>
      <c r="L163" s="16">
        <f t="shared" si="194"/>
        <v>224936.04</v>
      </c>
      <c r="M163" s="16">
        <f t="shared" si="194"/>
        <v>0</v>
      </c>
      <c r="N163" s="16">
        <f t="shared" si="194"/>
        <v>0</v>
      </c>
      <c r="O163" s="16">
        <f t="shared" si="194"/>
        <v>0</v>
      </c>
      <c r="P163" s="16">
        <f t="shared" si="194"/>
        <v>19237633.380000003</v>
      </c>
      <c r="Q163" s="16">
        <f t="shared" si="194"/>
        <v>176404.25</v>
      </c>
      <c r="R163" s="16">
        <f t="shared" si="194"/>
        <v>150393.72</v>
      </c>
      <c r="S163" s="16"/>
      <c r="T163" s="16">
        <f t="shared" si="194"/>
        <v>138827.6</v>
      </c>
      <c r="U163" s="16">
        <f t="shared" si="194"/>
        <v>224936.04</v>
      </c>
      <c r="V163" s="16">
        <f t="shared" si="194"/>
        <v>0</v>
      </c>
      <c r="W163" s="16">
        <f t="shared" si="194"/>
        <v>0</v>
      </c>
      <c r="X163" s="16">
        <f t="shared" si="194"/>
        <v>0</v>
      </c>
      <c r="Y163" s="16">
        <f t="shared" si="194"/>
        <v>19237633.380000003</v>
      </c>
      <c r="Z163" s="16">
        <f t="shared" si="194"/>
        <v>19936576.300000001</v>
      </c>
      <c r="AA163" s="16">
        <f t="shared" si="194"/>
        <v>11437631.809999999</v>
      </c>
      <c r="AB163" s="20"/>
    </row>
    <row r="164" spans="1:28" x14ac:dyDescent="0.25">
      <c r="G164" s="1"/>
      <c r="H164" s="1"/>
      <c r="I164" s="1"/>
      <c r="J164" s="1"/>
      <c r="K164" s="1"/>
      <c r="L164" s="1"/>
      <c r="AB164" s="3"/>
    </row>
  </sheetData>
  <mergeCells count="31">
    <mergeCell ref="F1:F3"/>
    <mergeCell ref="A1:A3"/>
    <mergeCell ref="B1:B3"/>
    <mergeCell ref="C1:C3"/>
    <mergeCell ref="D1:D3"/>
    <mergeCell ref="E1:E3"/>
    <mergeCell ref="Z1:Z3"/>
    <mergeCell ref="AA1:AA3"/>
    <mergeCell ref="H2:H3"/>
    <mergeCell ref="I2:I3"/>
    <mergeCell ref="K2:K3"/>
    <mergeCell ref="L2:L3"/>
    <mergeCell ref="M2:M3"/>
    <mergeCell ref="J2:J3"/>
    <mergeCell ref="S2:S3"/>
    <mergeCell ref="A4:AA4"/>
    <mergeCell ref="A163:F163"/>
    <mergeCell ref="U2:U3"/>
    <mergeCell ref="V2:V3"/>
    <mergeCell ref="W2:W3"/>
    <mergeCell ref="X2:X3"/>
    <mergeCell ref="Y2:Y3"/>
    <mergeCell ref="N2:N3"/>
    <mergeCell ref="O2:O3"/>
    <mergeCell ref="P2:P3"/>
    <mergeCell ref="Q2:Q3"/>
    <mergeCell ref="R2:R3"/>
    <mergeCell ref="T2:T3"/>
    <mergeCell ref="G1:G3"/>
    <mergeCell ref="H1:P1"/>
    <mergeCell ref="Q1:Y1"/>
  </mergeCells>
  <phoneticPr fontId="5" type="noConversion"/>
  <pageMargins left="0.19685039370078741" right="0.19685039370078741" top="0.19685039370078741" bottom="0.19685039370078741" header="0.31496062992125984" footer="0.31496062992125984"/>
  <pageSetup paperSize="9" scale="43" fitToHeight="0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CE362-4806-484B-BBBF-F23BEEE41F00}">
  <sheetPr>
    <pageSetUpPr fitToPage="1"/>
  </sheetPr>
  <dimension ref="A1:Z16"/>
  <sheetViews>
    <sheetView zoomScale="75" zoomScaleNormal="75" workbookViewId="0">
      <pane xSplit="14" ySplit="3" topLeftCell="O4" activePane="bottomRight" state="frozen"/>
      <selection pane="topRight" activeCell="J1" sqref="J1"/>
      <selection pane="bottomLeft" activeCell="A14" sqref="A14"/>
      <selection pane="bottomRight" activeCell="H1" sqref="A1:XFD33"/>
    </sheetView>
  </sheetViews>
  <sheetFormatPr defaultRowHeight="15" x14ac:dyDescent="0.25"/>
  <cols>
    <col min="1" max="1" width="3.7109375" customWidth="1"/>
    <col min="2" max="2" width="8.85546875" customWidth="1"/>
    <col min="3" max="3" width="7.7109375" customWidth="1"/>
    <col min="4" max="4" width="8.140625" customWidth="1"/>
    <col min="5" max="5" width="28.140625" customWidth="1"/>
    <col min="6" max="6" width="31.85546875" customWidth="1"/>
    <col min="7" max="7" width="13.28515625" customWidth="1"/>
    <col min="8" max="8" width="12.5703125" customWidth="1"/>
    <col min="9" max="9" width="12.140625" customWidth="1"/>
    <col min="10" max="10" width="12.5703125" customWidth="1"/>
    <col min="11" max="11" width="12.140625" customWidth="1"/>
    <col min="12" max="13" width="12.7109375" customWidth="1"/>
    <col min="14" max="14" width="11.7109375" customWidth="1"/>
    <col min="15" max="15" width="12.5703125" customWidth="1"/>
    <col min="16" max="17" width="12" customWidth="1"/>
    <col min="18" max="18" width="11.42578125" customWidth="1"/>
    <col min="19" max="19" width="12" customWidth="1"/>
    <col min="20" max="21" width="11.5703125" customWidth="1"/>
    <col min="22" max="22" width="11.85546875" customWidth="1"/>
    <col min="23" max="23" width="12.140625" customWidth="1"/>
    <col min="24" max="24" width="12.42578125" customWidth="1"/>
    <col min="25" max="26" width="13" customWidth="1"/>
    <col min="27" max="27" width="9.140625" customWidth="1"/>
  </cols>
  <sheetData>
    <row r="1" spans="1:26" ht="15" customHeight="1" x14ac:dyDescent="0.25">
      <c r="A1" s="66" t="s">
        <v>0</v>
      </c>
      <c r="B1" s="66" t="s">
        <v>1</v>
      </c>
      <c r="C1" s="66" t="s">
        <v>22</v>
      </c>
      <c r="D1" s="66" t="s">
        <v>21</v>
      </c>
      <c r="E1" s="66" t="s">
        <v>289</v>
      </c>
      <c r="F1" s="66" t="s">
        <v>3</v>
      </c>
      <c r="G1" s="66" t="s">
        <v>4</v>
      </c>
      <c r="H1" s="66" t="s">
        <v>7</v>
      </c>
      <c r="I1" s="66"/>
      <c r="J1" s="66"/>
      <c r="K1" s="66"/>
      <c r="L1" s="66"/>
      <c r="M1" s="66"/>
      <c r="N1" s="66"/>
      <c r="O1" s="66"/>
      <c r="P1" s="66" t="s">
        <v>314</v>
      </c>
      <c r="Q1" s="66"/>
      <c r="R1" s="66"/>
      <c r="S1" s="66"/>
      <c r="T1" s="66"/>
      <c r="U1" s="66"/>
      <c r="V1" s="66"/>
      <c r="W1" s="66"/>
      <c r="X1" s="66" t="s">
        <v>6</v>
      </c>
      <c r="Y1" s="66" t="s">
        <v>315</v>
      </c>
    </row>
    <row r="2" spans="1:26" ht="27.75" customHeight="1" x14ac:dyDescent="0.25">
      <c r="A2" s="66"/>
      <c r="B2" s="66"/>
      <c r="C2" s="66"/>
      <c r="D2" s="66"/>
      <c r="E2" s="66"/>
      <c r="F2" s="66"/>
      <c r="G2" s="66"/>
      <c r="H2" s="66" t="s">
        <v>307</v>
      </c>
      <c r="I2" s="66" t="s">
        <v>308</v>
      </c>
      <c r="J2" s="66" t="s">
        <v>309</v>
      </c>
      <c r="K2" s="66" t="s">
        <v>310</v>
      </c>
      <c r="L2" s="66" t="s">
        <v>311</v>
      </c>
      <c r="M2" s="70" t="s">
        <v>312</v>
      </c>
      <c r="N2" s="66" t="s">
        <v>313</v>
      </c>
      <c r="O2" s="66" t="s">
        <v>5</v>
      </c>
      <c r="P2" s="66" t="s">
        <v>307</v>
      </c>
      <c r="Q2" s="66" t="s">
        <v>308</v>
      </c>
      <c r="R2" s="66" t="s">
        <v>309</v>
      </c>
      <c r="S2" s="66" t="s">
        <v>310</v>
      </c>
      <c r="T2" s="66" t="s">
        <v>311</v>
      </c>
      <c r="U2" s="70" t="s">
        <v>312</v>
      </c>
      <c r="V2" s="66" t="s">
        <v>313</v>
      </c>
      <c r="W2" s="66" t="s">
        <v>5</v>
      </c>
      <c r="X2" s="66"/>
      <c r="Y2" s="66"/>
    </row>
    <row r="3" spans="1:26" ht="39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70"/>
      <c r="N3" s="66"/>
      <c r="O3" s="66"/>
      <c r="P3" s="66"/>
      <c r="Q3" s="66"/>
      <c r="R3" s="66"/>
      <c r="S3" s="66"/>
      <c r="T3" s="66"/>
      <c r="U3" s="70"/>
      <c r="V3" s="66"/>
      <c r="W3" s="66"/>
      <c r="X3" s="66"/>
      <c r="Y3" s="66"/>
    </row>
    <row r="4" spans="1:26" ht="15.75" customHeight="1" x14ac:dyDescent="0.25">
      <c r="A4" s="67" t="s">
        <v>9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3"/>
    </row>
    <row r="5" spans="1:26" ht="51" x14ac:dyDescent="0.25">
      <c r="A5" s="7">
        <v>1</v>
      </c>
      <c r="B5" s="8">
        <v>535</v>
      </c>
      <c r="C5" s="9">
        <v>45082</v>
      </c>
      <c r="D5" s="9">
        <v>45291</v>
      </c>
      <c r="E5" s="5" t="s">
        <v>88</v>
      </c>
      <c r="F5" s="5" t="s">
        <v>132</v>
      </c>
      <c r="G5" s="16"/>
      <c r="H5" s="10"/>
      <c r="I5" s="10"/>
      <c r="J5" s="10"/>
      <c r="K5" s="10"/>
      <c r="L5" s="10">
        <v>98700</v>
      </c>
      <c r="M5" s="11">
        <v>7550</v>
      </c>
      <c r="N5" s="11"/>
      <c r="O5" s="11"/>
      <c r="P5" s="11"/>
      <c r="Q5" s="11"/>
      <c r="R5" s="11"/>
      <c r="S5" s="11"/>
      <c r="T5" s="10">
        <f>17100+7725+19800+5925+14200+9500+8675+15775</f>
        <v>98700</v>
      </c>
      <c r="U5" s="10"/>
      <c r="V5" s="10"/>
      <c r="W5" s="10">
        <v>7550</v>
      </c>
      <c r="X5" s="11">
        <f t="shared" ref="X5:X10" si="0">SUM(P5:W5)</f>
        <v>106250</v>
      </c>
      <c r="Y5" s="10">
        <f>G5-X5</f>
        <v>-106250</v>
      </c>
      <c r="Z5" s="3"/>
    </row>
    <row r="6" spans="1:26" ht="51" x14ac:dyDescent="0.25">
      <c r="A6" s="7">
        <v>2</v>
      </c>
      <c r="B6" s="8">
        <v>70</v>
      </c>
      <c r="C6" s="9">
        <v>45313</v>
      </c>
      <c r="D6" s="9">
        <v>45657</v>
      </c>
      <c r="E6" s="5" t="s">
        <v>1351</v>
      </c>
      <c r="F6" s="5" t="s">
        <v>132</v>
      </c>
      <c r="G6" s="10">
        <v>1226550</v>
      </c>
      <c r="H6" s="10"/>
      <c r="I6" s="10"/>
      <c r="J6" s="10"/>
      <c r="K6" s="10"/>
      <c r="L6" s="11">
        <v>1226550</v>
      </c>
      <c r="M6" s="11"/>
      <c r="N6" s="11"/>
      <c r="O6" s="11"/>
      <c r="P6" s="11"/>
      <c r="Q6" s="11"/>
      <c r="R6" s="11"/>
      <c r="S6" s="11"/>
      <c r="T6" s="10">
        <f>50570+20020+54145+20475+36920+19110+17225+30875+10725+23725+7410+19500+14755+34125+18005+34125+11830+34840+18330+32500+27885+21190+11895+22620+31915+12155+40755+18980+26650+14885+33410+15535+36335+14755+28730+6890+38155+9230+39260+7800+20735+6305+10530+21580+11700+39130+9880+25155+27690+7150+22100+7215+5265+24180+4875+14820</f>
        <v>1226550</v>
      </c>
      <c r="U6" s="10"/>
      <c r="V6" s="10"/>
      <c r="W6" s="10"/>
      <c r="X6" s="11">
        <f t="shared" si="0"/>
        <v>1226550</v>
      </c>
      <c r="Y6" s="10">
        <f>G6-X6</f>
        <v>0</v>
      </c>
      <c r="Z6" s="3"/>
    </row>
    <row r="7" spans="1:26" x14ac:dyDescent="0.25">
      <c r="A7" s="7">
        <v>3</v>
      </c>
      <c r="B7" s="29">
        <v>29</v>
      </c>
      <c r="C7" s="30">
        <v>44935</v>
      </c>
      <c r="D7" s="14"/>
      <c r="E7" s="5" t="s">
        <v>98</v>
      </c>
      <c r="F7" s="5"/>
      <c r="G7" s="16"/>
      <c r="H7" s="10"/>
      <c r="I7" s="10"/>
      <c r="J7" s="10"/>
      <c r="K7" s="10"/>
      <c r="L7" s="11"/>
      <c r="M7" s="11"/>
      <c r="N7" s="11"/>
      <c r="O7" s="11">
        <f>58794+10800+243540+320169</f>
        <v>633303</v>
      </c>
      <c r="P7" s="11"/>
      <c r="Q7" s="11"/>
      <c r="R7" s="11"/>
      <c r="S7" s="11"/>
      <c r="T7" s="10"/>
      <c r="U7" s="10"/>
      <c r="V7" s="10"/>
      <c r="W7" s="11">
        <f>58794+10800+243540+320169</f>
        <v>633303</v>
      </c>
      <c r="X7" s="11">
        <f t="shared" si="0"/>
        <v>633303</v>
      </c>
      <c r="Y7" s="10">
        <f>G7-X7</f>
        <v>-633303</v>
      </c>
      <c r="Z7" s="3"/>
    </row>
    <row r="8" spans="1:26" ht="25.5" x14ac:dyDescent="0.25">
      <c r="A8" s="7">
        <v>4</v>
      </c>
      <c r="B8" s="39">
        <v>903</v>
      </c>
      <c r="C8" s="35">
        <v>45267</v>
      </c>
      <c r="D8" s="35">
        <v>45291</v>
      </c>
      <c r="E8" s="5" t="s">
        <v>507</v>
      </c>
      <c r="F8" s="5" t="s">
        <v>506</v>
      </c>
      <c r="G8" s="31">
        <v>699870</v>
      </c>
      <c r="H8" s="10"/>
      <c r="I8" s="10"/>
      <c r="J8" s="10"/>
      <c r="K8" s="10"/>
      <c r="L8" s="11"/>
      <c r="M8" s="11"/>
      <c r="N8" s="11"/>
      <c r="O8" s="11">
        <f>323613+263220</f>
        <v>586833</v>
      </c>
      <c r="P8" s="11"/>
      <c r="Q8" s="11"/>
      <c r="R8" s="11"/>
      <c r="S8" s="11"/>
      <c r="T8" s="10"/>
      <c r="U8" s="10"/>
      <c r="V8" s="10"/>
      <c r="W8" s="11">
        <f>323613+263220</f>
        <v>586833</v>
      </c>
      <c r="X8" s="11">
        <f t="shared" si="0"/>
        <v>586833</v>
      </c>
      <c r="Y8" s="10">
        <f>G8-X8</f>
        <v>113037</v>
      </c>
      <c r="Z8" s="3"/>
    </row>
    <row r="9" spans="1:26" ht="25.5" x14ac:dyDescent="0.25">
      <c r="A9" s="7">
        <v>5</v>
      </c>
      <c r="B9" s="39">
        <v>2</v>
      </c>
      <c r="C9" s="35">
        <v>45292</v>
      </c>
      <c r="D9" s="35">
        <v>45657</v>
      </c>
      <c r="E9" s="5" t="s">
        <v>618</v>
      </c>
      <c r="F9" s="5" t="s">
        <v>506</v>
      </c>
      <c r="G9" s="27">
        <v>15059210</v>
      </c>
      <c r="H9" s="10"/>
      <c r="I9" s="10">
        <f>81455.5+89943.3</f>
        <v>171398.8</v>
      </c>
      <c r="J9" s="10"/>
      <c r="K9" s="10"/>
      <c r="L9" s="11"/>
      <c r="M9" s="11"/>
      <c r="N9" s="11"/>
      <c r="O9" s="11">
        <f>398515.9+71598.7+82550.7+344988+318018.7+374558.4+77074.7+317197.3+338553.7+49557.8+205213.1+74336.7+93502.7+332940.8+295840.9+63110.9+349368.8+88711.2+96514.5+343755.9+252580.5+59688.4+323494.7+71872.5+350464+78169.9+275305.9+62289.5+60920.5+321441.2+341154.8+255044.7+42302.1+355255.5+59277.7+20771.6+79402+33030.1+357172.1+51885.1+261068.3+60372.9+313637.9+65164.4+347178.4+51200.6+265038.4+301453.8+50653+48873.3+303781.1+33540.5</f>
        <v>9869394.8000000026</v>
      </c>
      <c r="P9" s="11"/>
      <c r="Q9" s="10">
        <f>81455.5+89943.3</f>
        <v>171398.8</v>
      </c>
      <c r="R9" s="11"/>
      <c r="S9" s="11"/>
      <c r="T9" s="10"/>
      <c r="U9" s="10"/>
      <c r="V9" s="10"/>
      <c r="W9" s="11">
        <f>398515.9+71598.7+82550.7+344988+318018.7+374558.4+77074.7+317197.3+338553.7+49557.8+205213.1+74336.7+93502.7+332940.8+295840.9+63110.9+349368.8+88711.2+96514.5+343755.9+252580.5+59688.4+323494.7+71872.5+350464+78169.9+275305.9+62289.5+60920.5+321441.2+341154.8+255044.7+42302.1+355255.5+59277.7+20771.6+79402+33030.1+357172.1+51885.1+261068.3+60372.9+313637.9+65164.4+347178.4+51200.6+265038.4+301453.8+50653+48873.3+303781.1+33540.5</f>
        <v>9869394.8000000026</v>
      </c>
      <c r="X9" s="11">
        <f t="shared" si="0"/>
        <v>10040793.600000003</v>
      </c>
      <c r="Y9" s="10">
        <f t="shared" ref="Y9" si="1">G9-X9</f>
        <v>5018416.3999999966</v>
      </c>
      <c r="Z9" s="3"/>
    </row>
    <row r="10" spans="1:26" x14ac:dyDescent="0.25">
      <c r="A10" s="7">
        <v>6</v>
      </c>
      <c r="B10" s="39">
        <v>436</v>
      </c>
      <c r="C10" s="35">
        <v>45460</v>
      </c>
      <c r="D10" s="35">
        <v>45657</v>
      </c>
      <c r="E10" s="5" t="s">
        <v>957</v>
      </c>
      <c r="F10" s="5" t="s">
        <v>958</v>
      </c>
      <c r="G10" s="27">
        <v>6456</v>
      </c>
      <c r="H10" s="10"/>
      <c r="I10" s="27">
        <v>6456</v>
      </c>
      <c r="J10" s="10"/>
      <c r="K10" s="10"/>
      <c r="L10" s="11"/>
      <c r="M10" s="11"/>
      <c r="N10" s="11"/>
      <c r="O10" s="11"/>
      <c r="P10" s="11"/>
      <c r="Q10" s="27">
        <v>6456</v>
      </c>
      <c r="R10" s="11"/>
      <c r="S10" s="11"/>
      <c r="T10" s="10"/>
      <c r="U10" s="10"/>
      <c r="V10" s="10"/>
      <c r="W10" s="11"/>
      <c r="X10" s="11">
        <f t="shared" si="0"/>
        <v>6456</v>
      </c>
      <c r="Y10" s="10">
        <f t="shared" ref="Y10" si="2">G10-X10</f>
        <v>0</v>
      </c>
      <c r="Z10" s="3"/>
    </row>
    <row r="11" spans="1:26" x14ac:dyDescent="0.25">
      <c r="A11" s="7">
        <v>7</v>
      </c>
      <c r="B11" s="39" t="s">
        <v>1172</v>
      </c>
      <c r="C11" s="35">
        <v>45503</v>
      </c>
      <c r="D11" s="35">
        <v>45657</v>
      </c>
      <c r="E11" s="5" t="s">
        <v>1173</v>
      </c>
      <c r="F11" s="5" t="s">
        <v>1174</v>
      </c>
      <c r="G11" s="27">
        <v>13732.99</v>
      </c>
      <c r="H11" s="10"/>
      <c r="I11" s="27"/>
      <c r="J11" s="10"/>
      <c r="K11" s="10">
        <v>13732.99</v>
      </c>
      <c r="L11" s="11"/>
      <c r="M11" s="11"/>
      <c r="N11" s="11"/>
      <c r="O11" s="11"/>
      <c r="P11" s="11"/>
      <c r="Q11" s="27"/>
      <c r="R11" s="11"/>
      <c r="S11" s="10">
        <v>13732.99</v>
      </c>
      <c r="T11" s="10"/>
      <c r="U11" s="10"/>
      <c r="V11" s="10"/>
      <c r="W11" s="11"/>
      <c r="X11" s="11">
        <f t="shared" ref="X11:X13" si="3">SUM(P11:W11)</f>
        <v>13732.99</v>
      </c>
      <c r="Y11" s="10">
        <f t="shared" ref="Y11:Y13" si="4">G11-X11</f>
        <v>0</v>
      </c>
      <c r="Z11" s="3"/>
    </row>
    <row r="12" spans="1:26" ht="41.25" customHeight="1" x14ac:dyDescent="0.25">
      <c r="A12" s="7">
        <v>8</v>
      </c>
      <c r="B12" s="39">
        <v>678</v>
      </c>
      <c r="C12" s="35">
        <v>45580</v>
      </c>
      <c r="D12" s="35">
        <v>45657</v>
      </c>
      <c r="E12" s="5" t="s">
        <v>1410</v>
      </c>
      <c r="F12" s="5" t="s">
        <v>506</v>
      </c>
      <c r="G12" s="27">
        <v>347945</v>
      </c>
      <c r="H12" s="10"/>
      <c r="I12" s="27"/>
      <c r="J12" s="10"/>
      <c r="K12" s="10"/>
      <c r="L12" s="11">
        <v>223000</v>
      </c>
      <c r="M12" s="11">
        <v>124945</v>
      </c>
      <c r="N12" s="11"/>
      <c r="O12" s="11"/>
      <c r="P12" s="11"/>
      <c r="Q12" s="27"/>
      <c r="R12" s="11"/>
      <c r="S12" s="10"/>
      <c r="T12" s="10">
        <f>7410+5070+35555+3185+28340</f>
        <v>79560</v>
      </c>
      <c r="U12" s="10"/>
      <c r="V12" s="10"/>
      <c r="W12" s="11"/>
      <c r="X12" s="11">
        <f t="shared" ref="X12" si="5">SUM(P12:W12)</f>
        <v>79560</v>
      </c>
      <c r="Y12" s="10">
        <f t="shared" ref="Y12" si="6">G12-X12</f>
        <v>268385</v>
      </c>
      <c r="Z12" s="3"/>
    </row>
    <row r="13" spans="1:26" x14ac:dyDescent="0.25">
      <c r="A13" s="7"/>
      <c r="B13" s="39"/>
      <c r="C13" s="35"/>
      <c r="D13" s="35"/>
      <c r="E13" s="5"/>
      <c r="F13" s="5"/>
      <c r="G13" s="31"/>
      <c r="H13" s="10"/>
      <c r="I13" s="10"/>
      <c r="J13" s="10"/>
      <c r="K13" s="10"/>
      <c r="L13" s="11"/>
      <c r="M13" s="11"/>
      <c r="N13" s="11"/>
      <c r="O13" s="11"/>
      <c r="P13" s="11"/>
      <c r="Q13" s="11"/>
      <c r="R13" s="11"/>
      <c r="S13" s="11"/>
      <c r="T13" s="10"/>
      <c r="U13" s="10"/>
      <c r="V13" s="10"/>
      <c r="W13" s="11"/>
      <c r="X13" s="11">
        <f t="shared" si="3"/>
        <v>0</v>
      </c>
      <c r="Y13" s="10">
        <f t="shared" si="4"/>
        <v>0</v>
      </c>
      <c r="Z13" s="3"/>
    </row>
    <row r="14" spans="1:26" ht="15.75" customHeight="1" x14ac:dyDescent="0.25">
      <c r="A14" s="62" t="s">
        <v>16</v>
      </c>
      <c r="B14" s="62"/>
      <c r="C14" s="62"/>
      <c r="D14" s="62"/>
      <c r="E14" s="62"/>
      <c r="F14" s="62"/>
      <c r="G14" s="16">
        <f t="shared" ref="G14:Y14" si="7">SUM(G5:G13)</f>
        <v>17353763.989999998</v>
      </c>
      <c r="H14" s="16">
        <f t="shared" si="7"/>
        <v>0</v>
      </c>
      <c r="I14" s="16">
        <f t="shared" si="7"/>
        <v>177854.8</v>
      </c>
      <c r="J14" s="16">
        <f t="shared" si="7"/>
        <v>0</v>
      </c>
      <c r="K14" s="16">
        <f t="shared" si="7"/>
        <v>13732.99</v>
      </c>
      <c r="L14" s="16">
        <f t="shared" si="7"/>
        <v>1548250</v>
      </c>
      <c r="M14" s="16">
        <f t="shared" si="7"/>
        <v>132495</v>
      </c>
      <c r="N14" s="16">
        <f t="shared" si="7"/>
        <v>0</v>
      </c>
      <c r="O14" s="16">
        <f t="shared" si="7"/>
        <v>11089530.800000003</v>
      </c>
      <c r="P14" s="16">
        <f t="shared" si="7"/>
        <v>0</v>
      </c>
      <c r="Q14" s="16">
        <f t="shared" si="7"/>
        <v>177854.8</v>
      </c>
      <c r="R14" s="16">
        <f t="shared" si="7"/>
        <v>0</v>
      </c>
      <c r="S14" s="16">
        <f t="shared" si="7"/>
        <v>13732.99</v>
      </c>
      <c r="T14" s="16">
        <f t="shared" si="7"/>
        <v>1404810</v>
      </c>
      <c r="U14" s="16">
        <f t="shared" si="7"/>
        <v>0</v>
      </c>
      <c r="V14" s="16">
        <f t="shared" si="7"/>
        <v>0</v>
      </c>
      <c r="W14" s="16">
        <f t="shared" si="7"/>
        <v>11097080.800000003</v>
      </c>
      <c r="X14" s="16">
        <f t="shared" si="7"/>
        <v>12693478.590000004</v>
      </c>
      <c r="Y14" s="16">
        <f t="shared" si="7"/>
        <v>4660285.3999999966</v>
      </c>
      <c r="Z14" s="3"/>
    </row>
    <row r="16" spans="1:26" x14ac:dyDescent="0.25">
      <c r="O16" t="s">
        <v>887</v>
      </c>
    </row>
  </sheetData>
  <mergeCells count="29">
    <mergeCell ref="F1:F3"/>
    <mergeCell ref="A1:A3"/>
    <mergeCell ref="B1:B3"/>
    <mergeCell ref="C1:C3"/>
    <mergeCell ref="D1:D3"/>
    <mergeCell ref="E1:E3"/>
    <mergeCell ref="X1:X3"/>
    <mergeCell ref="Y1:Y3"/>
    <mergeCell ref="H2:H3"/>
    <mergeCell ref="I2:I3"/>
    <mergeCell ref="J2:J3"/>
    <mergeCell ref="K2:K3"/>
    <mergeCell ref="L2:L3"/>
    <mergeCell ref="A4:Y4"/>
    <mergeCell ref="A14:F14"/>
    <mergeCell ref="S2:S3"/>
    <mergeCell ref="T2:T3"/>
    <mergeCell ref="U2:U3"/>
    <mergeCell ref="V2:V3"/>
    <mergeCell ref="W2:W3"/>
    <mergeCell ref="M2:M3"/>
    <mergeCell ref="N2:N3"/>
    <mergeCell ref="O2:O3"/>
    <mergeCell ref="P2:P3"/>
    <mergeCell ref="Q2:Q3"/>
    <mergeCell ref="R2:R3"/>
    <mergeCell ref="G1:G3"/>
    <mergeCell ref="H1:O1"/>
    <mergeCell ref="P1:W1"/>
  </mergeCells>
  <pageMargins left="0.19685039370078741" right="0.19685039370078741" top="0.19685039370078741" bottom="0.19685039370078741" header="0.31496062992125984" footer="0.31496062992125984"/>
  <pageSetup paperSize="9" scale="43" fitToHeight="0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DAF16-BFCC-4C5F-9BDD-66FB2D5C3B7C}">
  <sheetPr>
    <pageSetUpPr fitToPage="1"/>
  </sheetPr>
  <dimension ref="A1:AB168"/>
  <sheetViews>
    <sheetView zoomScale="75" zoomScaleNormal="75" workbookViewId="0">
      <pane xSplit="15" ySplit="3" topLeftCell="P154" activePane="bottomRight" state="frozen"/>
      <selection pane="topRight" activeCell="J1" sqref="J1"/>
      <selection pane="bottomLeft" activeCell="A14" sqref="A14"/>
      <selection pane="bottomRight" activeCell="H1" sqref="A1:XFD178"/>
    </sheetView>
  </sheetViews>
  <sheetFormatPr defaultRowHeight="15" x14ac:dyDescent="0.25"/>
  <cols>
    <col min="1" max="1" width="3.7109375" customWidth="1"/>
    <col min="2" max="2" width="8.85546875" customWidth="1"/>
    <col min="3" max="3" width="7.7109375" customWidth="1"/>
    <col min="4" max="4" width="8.140625" customWidth="1"/>
    <col min="5" max="5" width="28.140625" customWidth="1"/>
    <col min="6" max="6" width="31.85546875" customWidth="1"/>
    <col min="7" max="7" width="13.28515625" customWidth="1"/>
    <col min="8" max="8" width="12.5703125" customWidth="1"/>
    <col min="9" max="10" width="12.140625" customWidth="1"/>
    <col min="11" max="11" width="12.5703125" customWidth="1"/>
    <col min="12" max="12" width="12.140625" customWidth="1"/>
    <col min="13" max="14" width="12.7109375" customWidth="1"/>
    <col min="15" max="15" width="11.7109375" customWidth="1"/>
    <col min="16" max="16" width="11.28515625" customWidth="1"/>
    <col min="17" max="19" width="12" customWidth="1"/>
    <col min="20" max="20" width="11.42578125" customWidth="1"/>
    <col min="21" max="21" width="12" customWidth="1"/>
    <col min="22" max="23" width="11.5703125" customWidth="1"/>
    <col min="24" max="24" width="11.85546875" customWidth="1"/>
    <col min="25" max="25" width="11.140625" customWidth="1"/>
    <col min="26" max="26" width="12.42578125" customWidth="1"/>
    <col min="27" max="28" width="13" customWidth="1"/>
    <col min="29" max="29" width="9.140625" customWidth="1"/>
  </cols>
  <sheetData>
    <row r="1" spans="1:28" ht="15" customHeight="1" x14ac:dyDescent="0.25">
      <c r="A1" s="66" t="s">
        <v>0</v>
      </c>
      <c r="B1" s="66" t="s">
        <v>1</v>
      </c>
      <c r="C1" s="66" t="s">
        <v>22</v>
      </c>
      <c r="D1" s="66" t="s">
        <v>21</v>
      </c>
      <c r="E1" s="66" t="s">
        <v>289</v>
      </c>
      <c r="F1" s="66" t="s">
        <v>3</v>
      </c>
      <c r="G1" s="66" t="s">
        <v>4</v>
      </c>
      <c r="H1" s="66" t="s">
        <v>7</v>
      </c>
      <c r="I1" s="66"/>
      <c r="J1" s="66"/>
      <c r="K1" s="66"/>
      <c r="L1" s="66"/>
      <c r="M1" s="66"/>
      <c r="N1" s="66"/>
      <c r="O1" s="66"/>
      <c r="P1" s="66"/>
      <c r="Q1" s="66" t="s">
        <v>314</v>
      </c>
      <c r="R1" s="66"/>
      <c r="S1" s="66"/>
      <c r="T1" s="66"/>
      <c r="U1" s="66"/>
      <c r="V1" s="66"/>
      <c r="W1" s="66"/>
      <c r="X1" s="66"/>
      <c r="Y1" s="66"/>
      <c r="Z1" s="66" t="s">
        <v>6</v>
      </c>
      <c r="AA1" s="66" t="s">
        <v>315</v>
      </c>
    </row>
    <row r="2" spans="1:28" ht="27.75" customHeight="1" x14ac:dyDescent="0.25">
      <c r="A2" s="66"/>
      <c r="B2" s="66"/>
      <c r="C2" s="66"/>
      <c r="D2" s="66"/>
      <c r="E2" s="66"/>
      <c r="F2" s="66"/>
      <c r="G2" s="66"/>
      <c r="H2" s="66" t="s">
        <v>307</v>
      </c>
      <c r="I2" s="66" t="s">
        <v>308</v>
      </c>
      <c r="J2" s="71" t="s">
        <v>962</v>
      </c>
      <c r="K2" s="66" t="s">
        <v>309</v>
      </c>
      <c r="L2" s="66" t="s">
        <v>310</v>
      </c>
      <c r="M2" s="66" t="s">
        <v>311</v>
      </c>
      <c r="N2" s="70" t="s">
        <v>312</v>
      </c>
      <c r="O2" s="66" t="s">
        <v>313</v>
      </c>
      <c r="P2" s="66" t="s">
        <v>5</v>
      </c>
      <c r="Q2" s="66" t="s">
        <v>307</v>
      </c>
      <c r="R2" s="66" t="s">
        <v>308</v>
      </c>
      <c r="S2" s="71" t="s">
        <v>962</v>
      </c>
      <c r="T2" s="66" t="s">
        <v>309</v>
      </c>
      <c r="U2" s="66" t="s">
        <v>310</v>
      </c>
      <c r="V2" s="66" t="s">
        <v>311</v>
      </c>
      <c r="W2" s="70" t="s">
        <v>312</v>
      </c>
      <c r="X2" s="66" t="s">
        <v>313</v>
      </c>
      <c r="Y2" s="66" t="s">
        <v>5</v>
      </c>
      <c r="Z2" s="66"/>
      <c r="AA2" s="66"/>
    </row>
    <row r="3" spans="1:28" ht="39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71"/>
      <c r="K3" s="66"/>
      <c r="L3" s="66"/>
      <c r="M3" s="66"/>
      <c r="N3" s="70"/>
      <c r="O3" s="66"/>
      <c r="P3" s="66"/>
      <c r="Q3" s="66"/>
      <c r="R3" s="66"/>
      <c r="S3" s="71"/>
      <c r="T3" s="66"/>
      <c r="U3" s="66"/>
      <c r="V3" s="66"/>
      <c r="W3" s="70"/>
      <c r="X3" s="66"/>
      <c r="Y3" s="66"/>
      <c r="Z3" s="66"/>
      <c r="AA3" s="66"/>
    </row>
    <row r="4" spans="1:28" s="21" customFormat="1" ht="15.75" customHeight="1" x14ac:dyDescent="0.2">
      <c r="A4" s="67" t="s">
        <v>10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20"/>
    </row>
    <row r="5" spans="1:28" s="21" customFormat="1" ht="18.75" customHeight="1" x14ac:dyDescent="0.2">
      <c r="A5" s="7">
        <v>1</v>
      </c>
      <c r="B5" s="8">
        <v>3500</v>
      </c>
      <c r="C5" s="9">
        <v>45296</v>
      </c>
      <c r="D5" s="9">
        <v>45657</v>
      </c>
      <c r="E5" s="5" t="s">
        <v>48</v>
      </c>
      <c r="F5" s="5" t="s">
        <v>49</v>
      </c>
      <c r="G5" s="10">
        <v>16320</v>
      </c>
      <c r="H5" s="10">
        <f>1360+1360</f>
        <v>2720</v>
      </c>
      <c r="I5" s="10">
        <f>1360+1360+1360+1360</f>
        <v>5440</v>
      </c>
      <c r="J5" s="10"/>
      <c r="K5" s="10"/>
      <c r="L5" s="10">
        <f>1360+1360</f>
        <v>2720</v>
      </c>
      <c r="M5" s="11"/>
      <c r="N5" s="11"/>
      <c r="O5" s="11"/>
      <c r="P5" s="11"/>
      <c r="Q5" s="10">
        <f>1360+1360</f>
        <v>2720</v>
      </c>
      <c r="R5" s="10">
        <f>1360+1360+1360+1360</f>
        <v>5440</v>
      </c>
      <c r="S5" s="10"/>
      <c r="T5" s="11"/>
      <c r="U5" s="10">
        <f>1360+1360</f>
        <v>2720</v>
      </c>
      <c r="V5" s="10"/>
      <c r="W5" s="10"/>
      <c r="X5" s="10"/>
      <c r="Y5" s="10"/>
      <c r="Z5" s="10">
        <f>SUM(Q5:Y5)</f>
        <v>10880</v>
      </c>
      <c r="AA5" s="10">
        <f t="shared" ref="AA5:AA84" si="0">G5-Z5</f>
        <v>5440</v>
      </c>
      <c r="AB5" s="20"/>
    </row>
    <row r="6" spans="1:28" s="21" customFormat="1" ht="39" customHeight="1" x14ac:dyDescent="0.2">
      <c r="A6" s="7">
        <v>2</v>
      </c>
      <c r="B6" s="29" t="s">
        <v>50</v>
      </c>
      <c r="C6" s="9">
        <v>44925</v>
      </c>
      <c r="D6" s="9">
        <v>45322</v>
      </c>
      <c r="E6" s="5" t="s">
        <v>51</v>
      </c>
      <c r="F6" s="5" t="s">
        <v>52</v>
      </c>
      <c r="G6" s="16"/>
      <c r="H6" s="10"/>
      <c r="I6" s="10">
        <v>2260</v>
      </c>
      <c r="J6" s="10"/>
      <c r="K6" s="10"/>
      <c r="L6" s="10"/>
      <c r="M6" s="11"/>
      <c r="N6" s="11"/>
      <c r="O6" s="11"/>
      <c r="P6" s="11"/>
      <c r="Q6" s="11"/>
      <c r="R6" s="11">
        <v>2260</v>
      </c>
      <c r="S6" s="11"/>
      <c r="T6" s="11"/>
      <c r="U6" s="11"/>
      <c r="V6" s="10"/>
      <c r="W6" s="10"/>
      <c r="X6" s="10"/>
      <c r="Y6" s="10"/>
      <c r="Z6" s="10">
        <f t="shared" ref="Z6:Z17" si="1">SUM(Q6:Y6)</f>
        <v>2260</v>
      </c>
      <c r="AA6" s="10">
        <f t="shared" si="0"/>
        <v>-2260</v>
      </c>
      <c r="AB6" s="20"/>
    </row>
    <row r="7" spans="1:28" s="21" customFormat="1" ht="63.75" x14ac:dyDescent="0.2">
      <c r="A7" s="7">
        <v>3</v>
      </c>
      <c r="B7" s="8">
        <v>1</v>
      </c>
      <c r="C7" s="9">
        <v>45302</v>
      </c>
      <c r="D7" s="9">
        <v>45657</v>
      </c>
      <c r="E7" s="5" t="s">
        <v>26</v>
      </c>
      <c r="F7" s="5" t="s">
        <v>57</v>
      </c>
      <c r="G7" s="10">
        <v>5530</v>
      </c>
      <c r="H7" s="10">
        <v>5530</v>
      </c>
      <c r="I7" s="10"/>
      <c r="J7" s="10"/>
      <c r="K7" s="10"/>
      <c r="L7" s="10"/>
      <c r="M7" s="11"/>
      <c r="N7" s="11"/>
      <c r="O7" s="11"/>
      <c r="P7" s="11"/>
      <c r="Q7" s="11">
        <v>5530</v>
      </c>
      <c r="R7" s="11"/>
      <c r="S7" s="11"/>
      <c r="T7" s="11"/>
      <c r="U7" s="11"/>
      <c r="V7" s="10"/>
      <c r="W7" s="10"/>
      <c r="X7" s="10"/>
      <c r="Y7" s="10"/>
      <c r="Z7" s="10">
        <f t="shared" si="1"/>
        <v>5530</v>
      </c>
      <c r="AA7" s="10">
        <f t="shared" si="0"/>
        <v>0</v>
      </c>
      <c r="AB7" s="20"/>
    </row>
    <row r="8" spans="1:28" s="21" customFormat="1" ht="51" x14ac:dyDescent="0.2">
      <c r="A8" s="7">
        <v>4</v>
      </c>
      <c r="B8" s="8">
        <v>22</v>
      </c>
      <c r="C8" s="9">
        <v>44935</v>
      </c>
      <c r="D8" s="9">
        <v>45291</v>
      </c>
      <c r="E8" s="5" t="s">
        <v>532</v>
      </c>
      <c r="F8" s="5" t="s">
        <v>66</v>
      </c>
      <c r="G8" s="16"/>
      <c r="H8" s="10"/>
      <c r="I8" s="10"/>
      <c r="J8" s="10"/>
      <c r="K8" s="10"/>
      <c r="L8" s="10"/>
      <c r="M8" s="11">
        <v>9180</v>
      </c>
      <c r="N8" s="11">
        <v>4080</v>
      </c>
      <c r="O8" s="11"/>
      <c r="P8" s="11"/>
      <c r="Q8" s="11"/>
      <c r="R8" s="11"/>
      <c r="S8" s="11"/>
      <c r="T8" s="11"/>
      <c r="U8" s="11"/>
      <c r="V8" s="10">
        <f>4500+4680</f>
        <v>9180</v>
      </c>
      <c r="W8" s="10"/>
      <c r="X8" s="10"/>
      <c r="Y8" s="10"/>
      <c r="Z8" s="10">
        <f t="shared" si="1"/>
        <v>9180</v>
      </c>
      <c r="AA8" s="10">
        <f t="shared" si="0"/>
        <v>-9180</v>
      </c>
      <c r="AB8" s="20"/>
    </row>
    <row r="9" spans="1:28" s="21" customFormat="1" ht="25.5" x14ac:dyDescent="0.2">
      <c r="A9" s="7">
        <v>5</v>
      </c>
      <c r="B9" s="8" t="s">
        <v>67</v>
      </c>
      <c r="C9" s="9">
        <v>45296</v>
      </c>
      <c r="D9" s="9">
        <v>45292</v>
      </c>
      <c r="E9" s="5" t="s">
        <v>23</v>
      </c>
      <c r="F9" s="5" t="s">
        <v>68</v>
      </c>
      <c r="G9" s="10">
        <v>5400</v>
      </c>
      <c r="H9" s="10"/>
      <c r="I9" s="10">
        <f>450+450+450+450+450+450+450+450+450+450</f>
        <v>4500</v>
      </c>
      <c r="J9" s="10"/>
      <c r="K9" s="10"/>
      <c r="L9" s="10"/>
      <c r="M9" s="11"/>
      <c r="N9" s="11"/>
      <c r="O9" s="11"/>
      <c r="P9" s="11"/>
      <c r="Q9" s="10"/>
      <c r="R9" s="10">
        <f>450+450+450+450+450+450+450+450+450+450</f>
        <v>4500</v>
      </c>
      <c r="S9" s="10"/>
      <c r="T9" s="11"/>
      <c r="U9" s="11"/>
      <c r="V9" s="10"/>
      <c r="W9" s="10"/>
      <c r="X9" s="10"/>
      <c r="Y9" s="10"/>
      <c r="Z9" s="10">
        <f t="shared" si="1"/>
        <v>4500</v>
      </c>
      <c r="AA9" s="10">
        <f t="shared" si="0"/>
        <v>900</v>
      </c>
      <c r="AB9" s="61" t="s">
        <v>1452</v>
      </c>
    </row>
    <row r="10" spans="1:28" s="21" customFormat="1" ht="38.25" x14ac:dyDescent="0.2">
      <c r="A10" s="7">
        <v>6</v>
      </c>
      <c r="B10" s="8" t="s">
        <v>69</v>
      </c>
      <c r="C10" s="9">
        <v>45303</v>
      </c>
      <c r="D10" s="14"/>
      <c r="E10" s="5" t="s">
        <v>70</v>
      </c>
      <c r="F10" s="5" t="s">
        <v>71</v>
      </c>
      <c r="G10" s="10">
        <v>1500</v>
      </c>
      <c r="H10" s="10">
        <v>1500</v>
      </c>
      <c r="I10" s="10"/>
      <c r="J10" s="10"/>
      <c r="K10" s="10"/>
      <c r="L10" s="10"/>
      <c r="M10" s="11"/>
      <c r="N10" s="11"/>
      <c r="O10" s="11"/>
      <c r="P10" s="11"/>
      <c r="Q10" s="11">
        <v>1500</v>
      </c>
      <c r="R10" s="11"/>
      <c r="S10" s="11"/>
      <c r="T10" s="11"/>
      <c r="U10" s="11"/>
      <c r="V10" s="10"/>
      <c r="W10" s="10"/>
      <c r="X10" s="10"/>
      <c r="Y10" s="10"/>
      <c r="Z10" s="10">
        <f t="shared" si="1"/>
        <v>1500</v>
      </c>
      <c r="AA10" s="10">
        <f t="shared" si="0"/>
        <v>0</v>
      </c>
      <c r="AB10" s="20"/>
    </row>
    <row r="11" spans="1:28" s="21" customFormat="1" ht="21.75" customHeight="1" x14ac:dyDescent="0.2">
      <c r="A11" s="7">
        <v>7</v>
      </c>
      <c r="B11" s="12" t="s">
        <v>320</v>
      </c>
      <c r="C11" s="9">
        <v>45310</v>
      </c>
      <c r="D11" s="9">
        <v>45657</v>
      </c>
      <c r="E11" s="5" t="s">
        <v>99</v>
      </c>
      <c r="F11" s="5" t="s">
        <v>100</v>
      </c>
      <c r="G11" s="10">
        <v>9120</v>
      </c>
      <c r="H11" s="10">
        <v>9120</v>
      </c>
      <c r="I11" s="10"/>
      <c r="J11" s="10"/>
      <c r="K11" s="10"/>
      <c r="L11" s="10"/>
      <c r="M11" s="11"/>
      <c r="N11" s="11"/>
      <c r="O11" s="11"/>
      <c r="P11" s="11"/>
      <c r="Q11" s="11">
        <v>9120</v>
      </c>
      <c r="R11" s="11"/>
      <c r="S11" s="11"/>
      <c r="T11" s="11"/>
      <c r="U11" s="11"/>
      <c r="V11" s="10"/>
      <c r="W11" s="10"/>
      <c r="X11" s="10"/>
      <c r="Y11" s="10"/>
      <c r="Z11" s="10">
        <f t="shared" si="1"/>
        <v>9120</v>
      </c>
      <c r="AA11" s="10">
        <f t="shared" si="0"/>
        <v>0</v>
      </c>
      <c r="AB11" s="20"/>
    </row>
    <row r="12" spans="1:28" s="21" customFormat="1" ht="15" customHeight="1" x14ac:dyDescent="0.2">
      <c r="A12" s="7">
        <v>8</v>
      </c>
      <c r="B12" s="8">
        <v>64</v>
      </c>
      <c r="C12" s="9">
        <v>45309</v>
      </c>
      <c r="D12" s="9">
        <v>45657</v>
      </c>
      <c r="E12" s="5" t="s">
        <v>101</v>
      </c>
      <c r="F12" s="5" t="s">
        <v>102</v>
      </c>
      <c r="G12" s="10">
        <v>5350</v>
      </c>
      <c r="H12" s="10">
        <v>5350</v>
      </c>
      <c r="I12" s="10"/>
      <c r="J12" s="10"/>
      <c r="K12" s="10"/>
      <c r="L12" s="10"/>
      <c r="M12" s="11"/>
      <c r="N12" s="11"/>
      <c r="O12" s="11"/>
      <c r="P12" s="11"/>
      <c r="Q12" s="11">
        <v>5350</v>
      </c>
      <c r="R12" s="11"/>
      <c r="S12" s="11"/>
      <c r="T12" s="11"/>
      <c r="U12" s="11"/>
      <c r="V12" s="10"/>
      <c r="W12" s="10"/>
      <c r="X12" s="10"/>
      <c r="Y12" s="10"/>
      <c r="Z12" s="10">
        <f t="shared" si="1"/>
        <v>5350</v>
      </c>
      <c r="AA12" s="10">
        <f t="shared" si="0"/>
        <v>0</v>
      </c>
      <c r="AB12" s="20"/>
    </row>
    <row r="13" spans="1:28" s="21" customFormat="1" ht="24.75" customHeight="1" x14ac:dyDescent="0.2">
      <c r="A13" s="7">
        <v>9</v>
      </c>
      <c r="B13" s="12" t="s">
        <v>321</v>
      </c>
      <c r="C13" s="9">
        <v>45313</v>
      </c>
      <c r="D13" s="9">
        <v>45657</v>
      </c>
      <c r="E13" s="5" t="s">
        <v>108</v>
      </c>
      <c r="F13" s="5" t="s">
        <v>109</v>
      </c>
      <c r="G13" s="10">
        <v>6720</v>
      </c>
      <c r="H13" s="10">
        <v>6720</v>
      </c>
      <c r="I13" s="10"/>
      <c r="J13" s="10"/>
      <c r="K13" s="10"/>
      <c r="L13" s="10"/>
      <c r="M13" s="11"/>
      <c r="N13" s="11"/>
      <c r="O13" s="11"/>
      <c r="P13" s="11"/>
      <c r="Q13" s="11">
        <v>6720</v>
      </c>
      <c r="R13" s="11"/>
      <c r="S13" s="11"/>
      <c r="T13" s="11"/>
      <c r="U13" s="11"/>
      <c r="V13" s="10"/>
      <c r="W13" s="10"/>
      <c r="X13" s="10"/>
      <c r="Y13" s="10"/>
      <c r="Z13" s="10">
        <f t="shared" si="1"/>
        <v>6720</v>
      </c>
      <c r="AA13" s="10">
        <f t="shared" si="0"/>
        <v>0</v>
      </c>
      <c r="AB13" s="20"/>
    </row>
    <row r="14" spans="1:28" s="21" customFormat="1" ht="27" customHeight="1" x14ac:dyDescent="0.2">
      <c r="A14" s="7">
        <v>10</v>
      </c>
      <c r="B14" s="8">
        <v>941</v>
      </c>
      <c r="C14" s="9">
        <v>45288</v>
      </c>
      <c r="D14" s="14"/>
      <c r="E14" s="5" t="s">
        <v>116</v>
      </c>
      <c r="F14" s="5" t="s">
        <v>117</v>
      </c>
      <c r="G14" s="16"/>
      <c r="H14" s="10">
        <v>390</v>
      </c>
      <c r="I14" s="10"/>
      <c r="J14" s="10"/>
      <c r="K14" s="10"/>
      <c r="L14" s="10"/>
      <c r="M14" s="11"/>
      <c r="N14" s="11"/>
      <c r="O14" s="11"/>
      <c r="P14" s="11"/>
      <c r="Q14" s="11">
        <v>390</v>
      </c>
      <c r="R14" s="11"/>
      <c r="S14" s="11"/>
      <c r="T14" s="11"/>
      <c r="U14" s="11"/>
      <c r="V14" s="10"/>
      <c r="W14" s="10"/>
      <c r="X14" s="10"/>
      <c r="Y14" s="10"/>
      <c r="Z14" s="10">
        <f t="shared" si="1"/>
        <v>390</v>
      </c>
      <c r="AA14" s="10">
        <f t="shared" si="0"/>
        <v>-390</v>
      </c>
      <c r="AB14" s="20"/>
    </row>
    <row r="15" spans="1:28" s="21" customFormat="1" ht="15" customHeight="1" x14ac:dyDescent="0.2">
      <c r="A15" s="7">
        <v>11</v>
      </c>
      <c r="B15" s="12" t="s">
        <v>119</v>
      </c>
      <c r="C15" s="13">
        <v>45058</v>
      </c>
      <c r="D15" s="14"/>
      <c r="E15" s="6" t="s">
        <v>118</v>
      </c>
      <c r="F15" s="5" t="s">
        <v>120</v>
      </c>
      <c r="G15" s="16"/>
      <c r="H15" s="10">
        <v>648</v>
      </c>
      <c r="I15" s="10"/>
      <c r="J15" s="10"/>
      <c r="K15" s="10"/>
      <c r="L15" s="10"/>
      <c r="M15" s="11"/>
      <c r="N15" s="11"/>
      <c r="O15" s="11"/>
      <c r="P15" s="11"/>
      <c r="Q15" s="11">
        <v>648</v>
      </c>
      <c r="R15" s="11"/>
      <c r="S15" s="11"/>
      <c r="T15" s="11"/>
      <c r="U15" s="11"/>
      <c r="V15" s="10"/>
      <c r="W15" s="10"/>
      <c r="X15" s="10"/>
      <c r="Y15" s="10"/>
      <c r="Z15" s="10">
        <f t="shared" si="1"/>
        <v>648</v>
      </c>
      <c r="AA15" s="10">
        <f t="shared" si="0"/>
        <v>-648</v>
      </c>
      <c r="AB15" s="20"/>
    </row>
    <row r="16" spans="1:28" s="21" customFormat="1" ht="18" customHeight="1" x14ac:dyDescent="0.2">
      <c r="A16" s="7">
        <v>12</v>
      </c>
      <c r="B16" s="12" t="s">
        <v>121</v>
      </c>
      <c r="C16" s="13">
        <v>45289</v>
      </c>
      <c r="D16" s="14"/>
      <c r="E16" s="6" t="s">
        <v>118</v>
      </c>
      <c r="F16" s="5" t="s">
        <v>120</v>
      </c>
      <c r="G16" s="16"/>
      <c r="H16" s="10"/>
      <c r="I16" s="10"/>
      <c r="J16" s="10"/>
      <c r="K16" s="10"/>
      <c r="L16" s="10">
        <v>10491</v>
      </c>
      <c r="M16" s="11"/>
      <c r="N16" s="11"/>
      <c r="O16" s="11"/>
      <c r="P16" s="11"/>
      <c r="Q16" s="11"/>
      <c r="R16" s="11"/>
      <c r="S16" s="11"/>
      <c r="T16" s="11"/>
      <c r="U16" s="10">
        <v>10491</v>
      </c>
      <c r="V16" s="10"/>
      <c r="W16" s="10"/>
      <c r="X16" s="10"/>
      <c r="Y16" s="10"/>
      <c r="Z16" s="10">
        <f t="shared" si="1"/>
        <v>10491</v>
      </c>
      <c r="AA16" s="10">
        <f t="shared" si="0"/>
        <v>-10491</v>
      </c>
      <c r="AB16" s="20"/>
    </row>
    <row r="17" spans="1:28" s="21" customFormat="1" ht="54" customHeight="1" x14ac:dyDescent="0.2">
      <c r="A17" s="7">
        <v>13</v>
      </c>
      <c r="B17" s="12" t="s">
        <v>129</v>
      </c>
      <c r="C17" s="13">
        <v>45268</v>
      </c>
      <c r="D17" s="13">
        <v>45657</v>
      </c>
      <c r="E17" s="5" t="s">
        <v>1456</v>
      </c>
      <c r="F17" s="5" t="s">
        <v>130</v>
      </c>
      <c r="G17" s="10">
        <f>475000-9999.2-1500.8</f>
        <v>463500</v>
      </c>
      <c r="H17" s="10"/>
      <c r="I17" s="10"/>
      <c r="J17" s="10"/>
      <c r="K17" s="10"/>
      <c r="L17" s="10"/>
      <c r="M17" s="10">
        <f>71450-9999.2</f>
        <v>61450.8</v>
      </c>
      <c r="N17" s="11">
        <f>403550-1500.8</f>
        <v>402049.2</v>
      </c>
      <c r="O17" s="11"/>
      <c r="P17" s="11"/>
      <c r="Q17" s="11"/>
      <c r="R17" s="11"/>
      <c r="S17" s="11"/>
      <c r="T17" s="11"/>
      <c r="U17" s="10"/>
      <c r="V17" s="10">
        <f>3500+19500+3000+4000+6000+13500+500+6000</f>
        <v>56000</v>
      </c>
      <c r="W17" s="10"/>
      <c r="X17" s="10"/>
      <c r="Y17" s="10"/>
      <c r="Z17" s="10">
        <f t="shared" si="1"/>
        <v>56000</v>
      </c>
      <c r="AA17" s="10">
        <f t="shared" si="0"/>
        <v>407500</v>
      </c>
      <c r="AB17" s="20"/>
    </row>
    <row r="18" spans="1:28" s="21" customFormat="1" ht="37.5" customHeight="1" x14ac:dyDescent="0.2">
      <c r="A18" s="7">
        <v>14</v>
      </c>
      <c r="B18" s="12" t="s">
        <v>133</v>
      </c>
      <c r="C18" s="13">
        <v>45294</v>
      </c>
      <c r="D18" s="13">
        <v>45657</v>
      </c>
      <c r="E18" s="5" t="s">
        <v>26</v>
      </c>
      <c r="F18" s="5" t="s">
        <v>134</v>
      </c>
      <c r="G18" s="10">
        <v>16800</v>
      </c>
      <c r="H18" s="10">
        <f>1400+1400+1400+1400+1400+1400+1400+1400+1400+1400</f>
        <v>14000</v>
      </c>
      <c r="I18" s="10"/>
      <c r="J18" s="10"/>
      <c r="K18" s="10"/>
      <c r="L18" s="10"/>
      <c r="M18" s="11"/>
      <c r="N18" s="11"/>
      <c r="O18" s="11"/>
      <c r="P18" s="11"/>
      <c r="Q18" s="10">
        <f>1400+1400+1400+1400+1400+1400+1400+1400+1400+1400</f>
        <v>14000</v>
      </c>
      <c r="R18" s="11"/>
      <c r="S18" s="11"/>
      <c r="T18" s="11"/>
      <c r="U18" s="10"/>
      <c r="V18" s="10"/>
      <c r="W18" s="10"/>
      <c r="X18" s="10"/>
      <c r="Y18" s="10"/>
      <c r="Z18" s="10">
        <f>SUM(Q18:Y18)</f>
        <v>14000</v>
      </c>
      <c r="AA18" s="10">
        <f t="shared" si="0"/>
        <v>2800</v>
      </c>
      <c r="AB18" s="20"/>
    </row>
    <row r="19" spans="1:28" s="21" customFormat="1" ht="36.75" customHeight="1" x14ac:dyDescent="0.2">
      <c r="A19" s="7">
        <v>15</v>
      </c>
      <c r="B19" s="12" t="s">
        <v>135</v>
      </c>
      <c r="C19" s="13">
        <v>45294</v>
      </c>
      <c r="D19" s="13">
        <v>45657</v>
      </c>
      <c r="E19" s="5" t="s">
        <v>136</v>
      </c>
      <c r="F19" s="5" t="s">
        <v>137</v>
      </c>
      <c r="G19" s="10">
        <v>3600</v>
      </c>
      <c r="H19" s="10">
        <f>300+300+300+300+300+300+300+300+300+300</f>
        <v>3000</v>
      </c>
      <c r="I19" s="10"/>
      <c r="J19" s="10"/>
      <c r="K19" s="10"/>
      <c r="L19" s="10"/>
      <c r="M19" s="11"/>
      <c r="N19" s="11"/>
      <c r="O19" s="11"/>
      <c r="P19" s="11"/>
      <c r="Q19" s="10">
        <f>300+300+300+300+300+300+300+300+300+300</f>
        <v>3000</v>
      </c>
      <c r="R19" s="11"/>
      <c r="S19" s="11"/>
      <c r="T19" s="11"/>
      <c r="U19" s="10"/>
      <c r="V19" s="10"/>
      <c r="W19" s="10"/>
      <c r="X19" s="10"/>
      <c r="Y19" s="10"/>
      <c r="Z19" s="10">
        <f t="shared" ref="Z19:Z21" si="2">SUM(Q19:Y19)</f>
        <v>3000</v>
      </c>
      <c r="AA19" s="10">
        <f t="shared" si="0"/>
        <v>600</v>
      </c>
      <c r="AB19" s="20"/>
    </row>
    <row r="20" spans="1:28" s="21" customFormat="1" ht="39" customHeight="1" x14ac:dyDescent="0.2">
      <c r="A20" s="7">
        <v>16</v>
      </c>
      <c r="B20" s="22" t="s">
        <v>142</v>
      </c>
      <c r="C20" s="23">
        <v>44935</v>
      </c>
      <c r="D20" s="14"/>
      <c r="E20" s="5" t="s">
        <v>26</v>
      </c>
      <c r="F20" s="5" t="s">
        <v>134</v>
      </c>
      <c r="G20" s="16"/>
      <c r="H20" s="10">
        <v>1400</v>
      </c>
      <c r="I20" s="10"/>
      <c r="J20" s="10"/>
      <c r="K20" s="10"/>
      <c r="L20" s="10"/>
      <c r="M20" s="11"/>
      <c r="N20" s="11"/>
      <c r="O20" s="11"/>
      <c r="P20" s="11"/>
      <c r="Q20" s="11">
        <v>1400</v>
      </c>
      <c r="R20" s="11"/>
      <c r="S20" s="11"/>
      <c r="T20" s="11"/>
      <c r="U20" s="10"/>
      <c r="V20" s="10"/>
      <c r="W20" s="10"/>
      <c r="X20" s="10"/>
      <c r="Y20" s="10"/>
      <c r="Z20" s="10">
        <f t="shared" si="2"/>
        <v>1400</v>
      </c>
      <c r="AA20" s="10">
        <f t="shared" si="0"/>
        <v>-1400</v>
      </c>
      <c r="AB20" s="20"/>
    </row>
    <row r="21" spans="1:28" s="21" customFormat="1" ht="24" customHeight="1" x14ac:dyDescent="0.2">
      <c r="A21" s="7">
        <v>17</v>
      </c>
      <c r="B21" s="24" t="s">
        <v>144</v>
      </c>
      <c r="C21" s="25">
        <v>45296</v>
      </c>
      <c r="D21" s="25">
        <v>45657</v>
      </c>
      <c r="E21" s="6" t="s">
        <v>145</v>
      </c>
      <c r="F21" s="5" t="s">
        <v>146</v>
      </c>
      <c r="G21" s="10">
        <v>99900</v>
      </c>
      <c r="H21" s="10">
        <v>14800</v>
      </c>
      <c r="I21" s="10"/>
      <c r="J21" s="10"/>
      <c r="K21" s="10"/>
      <c r="L21" s="10"/>
      <c r="M21" s="11"/>
      <c r="N21" s="11"/>
      <c r="O21" s="11"/>
      <c r="P21" s="11">
        <f>17230+21740+26910+15450+2550+1220</f>
        <v>85100</v>
      </c>
      <c r="Q21" s="11">
        <v>14800</v>
      </c>
      <c r="R21" s="11"/>
      <c r="S21" s="11"/>
      <c r="T21" s="11"/>
      <c r="U21" s="10"/>
      <c r="V21" s="10"/>
      <c r="W21" s="10"/>
      <c r="X21" s="10"/>
      <c r="Y21" s="11">
        <f>17230+21740+26910+15450+2550+1220</f>
        <v>85100</v>
      </c>
      <c r="Z21" s="10">
        <f t="shared" si="2"/>
        <v>99900</v>
      </c>
      <c r="AA21" s="10">
        <f t="shared" si="0"/>
        <v>0</v>
      </c>
      <c r="AB21" s="20"/>
    </row>
    <row r="22" spans="1:28" s="21" customFormat="1" ht="24" customHeight="1" x14ac:dyDescent="0.2">
      <c r="A22" s="7">
        <v>18</v>
      </c>
      <c r="B22" s="24" t="s">
        <v>148</v>
      </c>
      <c r="C22" s="25">
        <v>44942</v>
      </c>
      <c r="D22" s="25">
        <v>45291</v>
      </c>
      <c r="E22" s="5" t="s">
        <v>149</v>
      </c>
      <c r="F22" s="5" t="s">
        <v>150</v>
      </c>
      <c r="G22" s="16"/>
      <c r="H22" s="10">
        <v>71000</v>
      </c>
      <c r="I22" s="10">
        <v>161000</v>
      </c>
      <c r="J22" s="10"/>
      <c r="K22" s="10"/>
      <c r="L22" s="10"/>
      <c r="M22" s="11"/>
      <c r="N22" s="11"/>
      <c r="O22" s="11"/>
      <c r="P22" s="11">
        <f>64000+109000+45000+45000</f>
        <v>263000</v>
      </c>
      <c r="Q22" s="11">
        <v>71000</v>
      </c>
      <c r="R22" s="11">
        <v>161000</v>
      </c>
      <c r="S22" s="11"/>
      <c r="T22" s="11"/>
      <c r="U22" s="10"/>
      <c r="V22" s="10"/>
      <c r="W22" s="10"/>
      <c r="X22" s="10"/>
      <c r="Y22" s="11">
        <f>64000+109000+45000+45000</f>
        <v>263000</v>
      </c>
      <c r="Z22" s="10">
        <f t="shared" ref="Z22" si="3">SUM(Q22:Y22)</f>
        <v>495000</v>
      </c>
      <c r="AA22" s="10">
        <f t="shared" si="0"/>
        <v>-495000</v>
      </c>
      <c r="AB22" s="20"/>
    </row>
    <row r="23" spans="1:28" s="21" customFormat="1" ht="18" customHeight="1" x14ac:dyDescent="0.2">
      <c r="A23" s="7">
        <v>19</v>
      </c>
      <c r="B23" s="24" t="s">
        <v>160</v>
      </c>
      <c r="C23" s="25">
        <v>45306</v>
      </c>
      <c r="D23" s="25">
        <v>45657</v>
      </c>
      <c r="E23" s="5" t="s">
        <v>161</v>
      </c>
      <c r="F23" s="5" t="s">
        <v>162</v>
      </c>
      <c r="G23" s="10">
        <v>70000</v>
      </c>
      <c r="H23" s="10">
        <f>5000+5200+5200+5200+5500+5500+5500+5500</f>
        <v>42600</v>
      </c>
      <c r="I23" s="10">
        <f>5500+500+6000</f>
        <v>12000</v>
      </c>
      <c r="J23" s="10"/>
      <c r="K23" s="10"/>
      <c r="L23" s="10"/>
      <c r="M23" s="11"/>
      <c r="N23" s="11"/>
      <c r="O23" s="11"/>
      <c r="P23" s="11"/>
      <c r="Q23" s="10">
        <f>5000+5200+5200+5200+5500+5500+5500+5500</f>
        <v>42600</v>
      </c>
      <c r="R23" s="10">
        <f>5500+500+6000</f>
        <v>12000</v>
      </c>
      <c r="S23" s="10"/>
      <c r="T23" s="11"/>
      <c r="U23" s="10"/>
      <c r="V23" s="10"/>
      <c r="W23" s="10"/>
      <c r="X23" s="10"/>
      <c r="Y23" s="10"/>
      <c r="Z23" s="10">
        <f t="shared" ref="Z23:Z31" si="4">SUM(Q23:Y23)</f>
        <v>54600</v>
      </c>
      <c r="AA23" s="10">
        <f t="shared" si="0"/>
        <v>15400</v>
      </c>
      <c r="AB23" s="20"/>
    </row>
    <row r="24" spans="1:28" s="21" customFormat="1" ht="38.25" customHeight="1" x14ac:dyDescent="0.2">
      <c r="A24" s="7">
        <v>20</v>
      </c>
      <c r="B24" s="24" t="s">
        <v>167</v>
      </c>
      <c r="C24" s="25">
        <v>45294</v>
      </c>
      <c r="D24" s="25">
        <v>45657</v>
      </c>
      <c r="E24" s="5" t="s">
        <v>168</v>
      </c>
      <c r="F24" s="5" t="s">
        <v>169</v>
      </c>
      <c r="G24" s="10">
        <v>27600</v>
      </c>
      <c r="H24" s="10">
        <f>2300+2300+2300+2300+2300+2300+2300+2300+2300+2300</f>
        <v>23000</v>
      </c>
      <c r="I24" s="10"/>
      <c r="J24" s="10"/>
      <c r="K24" s="10"/>
      <c r="L24" s="10"/>
      <c r="M24" s="11"/>
      <c r="N24" s="11"/>
      <c r="O24" s="11"/>
      <c r="P24" s="11"/>
      <c r="Q24" s="10">
        <f>2300+2300+2300+2300+2300+2300+2300+2300+2300+2300</f>
        <v>23000</v>
      </c>
      <c r="R24" s="11"/>
      <c r="S24" s="11"/>
      <c r="T24" s="11"/>
      <c r="U24" s="10"/>
      <c r="V24" s="10"/>
      <c r="W24" s="10"/>
      <c r="X24" s="10"/>
      <c r="Y24" s="10"/>
      <c r="Z24" s="10">
        <f t="shared" si="4"/>
        <v>23000</v>
      </c>
      <c r="AA24" s="10">
        <f t="shared" si="0"/>
        <v>4600</v>
      </c>
      <c r="AB24" s="20"/>
    </row>
    <row r="25" spans="1:28" s="21" customFormat="1" ht="21.75" customHeight="1" x14ac:dyDescent="0.2">
      <c r="A25" s="7">
        <v>21</v>
      </c>
      <c r="B25" s="24" t="s">
        <v>170</v>
      </c>
      <c r="C25" s="25">
        <v>45320</v>
      </c>
      <c r="D25" s="25">
        <v>45322</v>
      </c>
      <c r="E25" s="5" t="s">
        <v>171</v>
      </c>
      <c r="F25" s="5" t="s">
        <v>172</v>
      </c>
      <c r="G25" s="10">
        <v>12840</v>
      </c>
      <c r="H25" s="10">
        <v>12840</v>
      </c>
      <c r="I25" s="10"/>
      <c r="J25" s="10"/>
      <c r="K25" s="10"/>
      <c r="L25" s="10"/>
      <c r="M25" s="11"/>
      <c r="N25" s="11"/>
      <c r="O25" s="11"/>
      <c r="P25" s="11"/>
      <c r="Q25" s="11">
        <v>12840</v>
      </c>
      <c r="R25" s="11"/>
      <c r="S25" s="11"/>
      <c r="T25" s="11"/>
      <c r="U25" s="10"/>
      <c r="V25" s="10"/>
      <c r="W25" s="10"/>
      <c r="X25" s="10"/>
      <c r="Y25" s="10"/>
      <c r="Z25" s="10">
        <f t="shared" si="4"/>
        <v>12840</v>
      </c>
      <c r="AA25" s="10">
        <f t="shared" si="0"/>
        <v>0</v>
      </c>
      <c r="AB25" s="20"/>
    </row>
    <row r="26" spans="1:28" s="21" customFormat="1" ht="26.25" customHeight="1" x14ac:dyDescent="0.2">
      <c r="A26" s="7">
        <v>22</v>
      </c>
      <c r="B26" s="24" t="s">
        <v>173</v>
      </c>
      <c r="C26" s="25">
        <v>45317</v>
      </c>
      <c r="D26" s="25">
        <v>45657</v>
      </c>
      <c r="E26" s="5" t="s">
        <v>174</v>
      </c>
      <c r="F26" s="5" t="s">
        <v>175</v>
      </c>
      <c r="G26" s="10">
        <v>4620</v>
      </c>
      <c r="H26" s="10"/>
      <c r="I26" s="10">
        <v>4620</v>
      </c>
      <c r="J26" s="10"/>
      <c r="K26" s="10"/>
      <c r="L26" s="10"/>
      <c r="M26" s="11"/>
      <c r="N26" s="11"/>
      <c r="O26" s="11"/>
      <c r="P26" s="11"/>
      <c r="Q26" s="11"/>
      <c r="R26" s="11">
        <v>4620</v>
      </c>
      <c r="S26" s="11"/>
      <c r="T26" s="11"/>
      <c r="U26" s="10"/>
      <c r="V26" s="10"/>
      <c r="W26" s="10"/>
      <c r="X26" s="10"/>
      <c r="Y26" s="10"/>
      <c r="Z26" s="10">
        <f t="shared" si="4"/>
        <v>4620</v>
      </c>
      <c r="AA26" s="10">
        <f t="shared" si="0"/>
        <v>0</v>
      </c>
      <c r="AB26" s="20"/>
    </row>
    <row r="27" spans="1:28" s="21" customFormat="1" ht="21.75" customHeight="1" x14ac:dyDescent="0.2">
      <c r="A27" s="7">
        <v>23</v>
      </c>
      <c r="B27" s="24" t="s">
        <v>176</v>
      </c>
      <c r="C27" s="25">
        <v>44928</v>
      </c>
      <c r="D27" s="25">
        <v>45291</v>
      </c>
      <c r="E27" s="5" t="s">
        <v>177</v>
      </c>
      <c r="F27" s="6" t="s">
        <v>178</v>
      </c>
      <c r="G27" s="16"/>
      <c r="H27" s="10">
        <f>28080+28080</f>
        <v>56160</v>
      </c>
      <c r="I27" s="10"/>
      <c r="J27" s="10"/>
      <c r="K27" s="10"/>
      <c r="L27" s="10"/>
      <c r="M27" s="11"/>
      <c r="N27" s="11"/>
      <c r="O27" s="11"/>
      <c r="P27" s="11"/>
      <c r="Q27" s="10">
        <f>28080+28080</f>
        <v>56160</v>
      </c>
      <c r="R27" s="11"/>
      <c r="S27" s="11"/>
      <c r="T27" s="11"/>
      <c r="U27" s="10"/>
      <c r="V27" s="10"/>
      <c r="W27" s="10"/>
      <c r="X27" s="10"/>
      <c r="Y27" s="10"/>
      <c r="Z27" s="10">
        <f t="shared" si="4"/>
        <v>56160</v>
      </c>
      <c r="AA27" s="10">
        <f t="shared" si="0"/>
        <v>-56160</v>
      </c>
      <c r="AB27" s="20"/>
    </row>
    <row r="28" spans="1:28" s="21" customFormat="1" ht="39" customHeight="1" x14ac:dyDescent="0.2">
      <c r="A28" s="7">
        <v>24</v>
      </c>
      <c r="B28" s="24" t="s">
        <v>190</v>
      </c>
      <c r="C28" s="25">
        <v>45328</v>
      </c>
      <c r="D28" s="25">
        <v>45657</v>
      </c>
      <c r="E28" s="5" t="s">
        <v>191</v>
      </c>
      <c r="F28" s="5" t="s">
        <v>192</v>
      </c>
      <c r="G28" s="10">
        <v>6000</v>
      </c>
      <c r="H28" s="10">
        <v>6000</v>
      </c>
      <c r="I28" s="10"/>
      <c r="J28" s="10"/>
      <c r="K28" s="10"/>
      <c r="L28" s="10"/>
      <c r="M28" s="11"/>
      <c r="N28" s="11"/>
      <c r="O28" s="11"/>
      <c r="P28" s="11"/>
      <c r="Q28" s="10">
        <v>6000</v>
      </c>
      <c r="R28" s="11"/>
      <c r="S28" s="11"/>
      <c r="T28" s="11"/>
      <c r="U28" s="10"/>
      <c r="V28" s="10"/>
      <c r="W28" s="10"/>
      <c r="X28" s="10"/>
      <c r="Y28" s="10"/>
      <c r="Z28" s="10">
        <f t="shared" si="4"/>
        <v>6000</v>
      </c>
      <c r="AA28" s="10">
        <f t="shared" si="0"/>
        <v>0</v>
      </c>
      <c r="AB28" s="20"/>
    </row>
    <row r="29" spans="1:28" s="21" customFormat="1" ht="24" customHeight="1" x14ac:dyDescent="0.2">
      <c r="A29" s="7">
        <v>25</v>
      </c>
      <c r="B29" s="24" t="s">
        <v>193</v>
      </c>
      <c r="C29" s="25">
        <v>45328</v>
      </c>
      <c r="D29" s="25">
        <v>45657</v>
      </c>
      <c r="E29" s="5" t="s">
        <v>194</v>
      </c>
      <c r="F29" s="5" t="s">
        <v>195</v>
      </c>
      <c r="G29" s="10">
        <v>4800</v>
      </c>
      <c r="H29" s="10">
        <v>4800</v>
      </c>
      <c r="I29" s="10"/>
      <c r="J29" s="10"/>
      <c r="K29" s="10"/>
      <c r="L29" s="10"/>
      <c r="M29" s="11"/>
      <c r="N29" s="11"/>
      <c r="O29" s="11"/>
      <c r="P29" s="11"/>
      <c r="Q29" s="10">
        <v>4800</v>
      </c>
      <c r="R29" s="11"/>
      <c r="S29" s="11"/>
      <c r="T29" s="11"/>
      <c r="U29" s="10"/>
      <c r="V29" s="10"/>
      <c r="W29" s="10"/>
      <c r="X29" s="10"/>
      <c r="Y29" s="10"/>
      <c r="Z29" s="10">
        <f t="shared" si="4"/>
        <v>4800</v>
      </c>
      <c r="AA29" s="10">
        <f t="shared" si="0"/>
        <v>0</v>
      </c>
      <c r="AB29" s="20"/>
    </row>
    <row r="30" spans="1:28" s="21" customFormat="1" ht="25.5" customHeight="1" x14ac:dyDescent="0.2">
      <c r="A30" s="7">
        <v>26</v>
      </c>
      <c r="B30" s="24" t="s">
        <v>215</v>
      </c>
      <c r="C30" s="25">
        <v>45334</v>
      </c>
      <c r="D30" s="25">
        <v>45657</v>
      </c>
      <c r="E30" s="5" t="s">
        <v>216</v>
      </c>
      <c r="F30" s="5" t="s">
        <v>217</v>
      </c>
      <c r="G30" s="10">
        <v>3100</v>
      </c>
      <c r="H30" s="10">
        <v>3100</v>
      </c>
      <c r="I30" s="10"/>
      <c r="J30" s="10"/>
      <c r="K30" s="10"/>
      <c r="L30" s="10"/>
      <c r="M30" s="11"/>
      <c r="N30" s="11"/>
      <c r="O30" s="11"/>
      <c r="P30" s="11"/>
      <c r="Q30" s="10">
        <v>3100</v>
      </c>
      <c r="R30" s="11"/>
      <c r="S30" s="11"/>
      <c r="T30" s="11"/>
      <c r="U30" s="10"/>
      <c r="V30" s="10"/>
      <c r="W30" s="10"/>
      <c r="X30" s="10"/>
      <c r="Y30" s="10"/>
      <c r="Z30" s="10">
        <f t="shared" si="4"/>
        <v>3100</v>
      </c>
      <c r="AA30" s="10">
        <f t="shared" si="0"/>
        <v>0</v>
      </c>
      <c r="AB30" s="20"/>
    </row>
    <row r="31" spans="1:28" s="21" customFormat="1" ht="27.75" customHeight="1" x14ac:dyDescent="0.2">
      <c r="A31" s="7">
        <v>27</v>
      </c>
      <c r="B31" s="22" t="s">
        <v>227</v>
      </c>
      <c r="C31" s="23">
        <v>44927</v>
      </c>
      <c r="D31" s="23">
        <v>45107</v>
      </c>
      <c r="E31" s="5" t="s">
        <v>228</v>
      </c>
      <c r="F31" s="5" t="s">
        <v>229</v>
      </c>
      <c r="G31" s="16"/>
      <c r="H31" s="10"/>
      <c r="I31" s="10"/>
      <c r="J31" s="10"/>
      <c r="K31" s="10"/>
      <c r="L31" s="10"/>
      <c r="M31" s="11"/>
      <c r="N31" s="11"/>
      <c r="O31" s="11"/>
      <c r="P31" s="11">
        <f>44910+18190</f>
        <v>63100</v>
      </c>
      <c r="Q31" s="10"/>
      <c r="R31" s="11"/>
      <c r="S31" s="11"/>
      <c r="T31" s="11"/>
      <c r="U31" s="10"/>
      <c r="V31" s="10"/>
      <c r="W31" s="10"/>
      <c r="X31" s="10"/>
      <c r="Y31" s="11">
        <f>44910+18190</f>
        <v>63100</v>
      </c>
      <c r="Z31" s="10">
        <f t="shared" si="4"/>
        <v>63100</v>
      </c>
      <c r="AA31" s="10">
        <f t="shared" si="0"/>
        <v>-63100</v>
      </c>
      <c r="AB31" s="20"/>
    </row>
    <row r="32" spans="1:28" s="21" customFormat="1" ht="26.25" customHeight="1" x14ac:dyDescent="0.2">
      <c r="A32" s="7">
        <v>28</v>
      </c>
      <c r="B32" s="24" t="s">
        <v>103</v>
      </c>
      <c r="C32" s="25">
        <v>45208</v>
      </c>
      <c r="D32" s="25">
        <v>45291</v>
      </c>
      <c r="E32" s="17" t="s">
        <v>247</v>
      </c>
      <c r="F32" s="17" t="s">
        <v>248</v>
      </c>
      <c r="G32" s="27">
        <v>30445.919999999998</v>
      </c>
      <c r="H32" s="10"/>
      <c r="I32" s="10"/>
      <c r="J32" s="10"/>
      <c r="K32" s="10"/>
      <c r="L32" s="10"/>
      <c r="M32" s="11"/>
      <c r="N32" s="11"/>
      <c r="O32" s="11"/>
      <c r="P32" s="11">
        <f>9520.36+20925.56</f>
        <v>30445.920000000002</v>
      </c>
      <c r="Q32" s="11"/>
      <c r="R32" s="11"/>
      <c r="S32" s="11"/>
      <c r="T32" s="11"/>
      <c r="U32" s="10"/>
      <c r="V32" s="10"/>
      <c r="W32" s="10"/>
      <c r="X32" s="10"/>
      <c r="Y32" s="11">
        <f>9520.36+20925.56</f>
        <v>30445.920000000002</v>
      </c>
      <c r="Z32" s="10">
        <f t="shared" ref="Z32" si="5">SUM(Q32:Y32)</f>
        <v>30445.920000000002</v>
      </c>
      <c r="AA32" s="10">
        <f t="shared" si="0"/>
        <v>0</v>
      </c>
      <c r="AB32" s="20"/>
    </row>
    <row r="33" spans="1:28" s="21" customFormat="1" ht="17.25" customHeight="1" x14ac:dyDescent="0.2">
      <c r="A33" s="7">
        <v>29</v>
      </c>
      <c r="B33" s="22" t="s">
        <v>249</v>
      </c>
      <c r="C33" s="23">
        <v>44936</v>
      </c>
      <c r="D33" s="28"/>
      <c r="E33" s="17" t="s">
        <v>250</v>
      </c>
      <c r="F33" s="17" t="s">
        <v>376</v>
      </c>
      <c r="G33" s="26"/>
      <c r="H33" s="10"/>
      <c r="I33" s="10"/>
      <c r="J33" s="10"/>
      <c r="K33" s="10"/>
      <c r="L33" s="10"/>
      <c r="M33" s="11"/>
      <c r="N33" s="11"/>
      <c r="O33" s="11"/>
      <c r="P33" s="11">
        <f>82185.9+69617.83</f>
        <v>151803.72999999998</v>
      </c>
      <c r="Q33" s="11"/>
      <c r="R33" s="11"/>
      <c r="S33" s="11"/>
      <c r="T33" s="11"/>
      <c r="U33" s="10"/>
      <c r="V33" s="10"/>
      <c r="W33" s="10"/>
      <c r="X33" s="10"/>
      <c r="Y33" s="11">
        <f>82185.9+69617.83</f>
        <v>151803.72999999998</v>
      </c>
      <c r="Z33" s="10">
        <f t="shared" ref="Z33" si="6">SUM(Q33:Y33)</f>
        <v>151803.72999999998</v>
      </c>
      <c r="AA33" s="10">
        <f t="shared" si="0"/>
        <v>-151803.72999999998</v>
      </c>
      <c r="AB33" s="20"/>
    </row>
    <row r="34" spans="1:28" s="21" customFormat="1" ht="39.75" customHeight="1" x14ac:dyDescent="0.2">
      <c r="A34" s="7">
        <v>30</v>
      </c>
      <c r="B34" s="24" t="s">
        <v>260</v>
      </c>
      <c r="C34" s="25">
        <v>45292</v>
      </c>
      <c r="D34" s="25">
        <v>45657</v>
      </c>
      <c r="E34" s="17" t="s">
        <v>261</v>
      </c>
      <c r="F34" s="17" t="s">
        <v>262</v>
      </c>
      <c r="G34" s="27">
        <v>129360</v>
      </c>
      <c r="H34" s="10">
        <f>10780+10780+10780+10780+10780+10780</f>
        <v>64680</v>
      </c>
      <c r="I34" s="10">
        <f>10780+10780</f>
        <v>21560</v>
      </c>
      <c r="J34" s="10"/>
      <c r="K34" s="10"/>
      <c r="L34" s="10"/>
      <c r="M34" s="11"/>
      <c r="N34" s="11"/>
      <c r="O34" s="11"/>
      <c r="P34" s="11">
        <f>10780+10780</f>
        <v>21560</v>
      </c>
      <c r="Q34" s="10">
        <f>10780+10780+10780+10780+10780+10780</f>
        <v>64680</v>
      </c>
      <c r="R34" s="10">
        <f>10780+10780</f>
        <v>21560</v>
      </c>
      <c r="S34" s="10"/>
      <c r="T34" s="11"/>
      <c r="U34" s="10"/>
      <c r="V34" s="10"/>
      <c r="W34" s="10"/>
      <c r="X34" s="10"/>
      <c r="Y34" s="11">
        <f>10780+10780</f>
        <v>21560</v>
      </c>
      <c r="Z34" s="10">
        <f t="shared" ref="Z34:Z36" si="7">SUM(Q34:Y34)</f>
        <v>107800</v>
      </c>
      <c r="AA34" s="10">
        <f t="shared" si="0"/>
        <v>21560</v>
      </c>
      <c r="AB34" s="20"/>
    </row>
    <row r="35" spans="1:28" s="21" customFormat="1" ht="29.25" customHeight="1" x14ac:dyDescent="0.2">
      <c r="A35" s="7">
        <v>31</v>
      </c>
      <c r="B35" s="24" t="s">
        <v>263</v>
      </c>
      <c r="C35" s="25">
        <v>45309</v>
      </c>
      <c r="D35" s="25">
        <v>45657</v>
      </c>
      <c r="E35" s="17" t="s">
        <v>264</v>
      </c>
      <c r="F35" s="17" t="s">
        <v>265</v>
      </c>
      <c r="G35" s="27">
        <v>21600</v>
      </c>
      <c r="H35" s="10">
        <f>1800+1800+1800+1800+1800+1800+1800+1800+1800+1800</f>
        <v>18000</v>
      </c>
      <c r="I35" s="10"/>
      <c r="J35" s="10"/>
      <c r="K35" s="10"/>
      <c r="L35" s="10"/>
      <c r="M35" s="11"/>
      <c r="N35" s="11"/>
      <c r="O35" s="11"/>
      <c r="P35" s="11"/>
      <c r="Q35" s="10">
        <f>1800+1800+1800+1800+1800+1800+1800+1800+1800+1800</f>
        <v>18000</v>
      </c>
      <c r="R35" s="11"/>
      <c r="S35" s="11"/>
      <c r="T35" s="11"/>
      <c r="U35" s="10"/>
      <c r="V35" s="10"/>
      <c r="W35" s="10"/>
      <c r="X35" s="10"/>
      <c r="Y35" s="11"/>
      <c r="Z35" s="10">
        <f t="shared" si="7"/>
        <v>18000</v>
      </c>
      <c r="AA35" s="10">
        <f t="shared" si="0"/>
        <v>3600</v>
      </c>
      <c r="AB35" s="20"/>
    </row>
    <row r="36" spans="1:28" s="21" customFormat="1" ht="24" customHeight="1" x14ac:dyDescent="0.2">
      <c r="A36" s="7">
        <v>32</v>
      </c>
      <c r="B36" s="24" t="s">
        <v>274</v>
      </c>
      <c r="C36" s="25">
        <v>45342</v>
      </c>
      <c r="D36" s="25">
        <v>45657</v>
      </c>
      <c r="E36" s="17" t="s">
        <v>99</v>
      </c>
      <c r="F36" s="17" t="s">
        <v>100</v>
      </c>
      <c r="G36" s="27">
        <v>8010</v>
      </c>
      <c r="H36" s="10">
        <v>8010</v>
      </c>
      <c r="I36" s="10"/>
      <c r="J36" s="10"/>
      <c r="K36" s="10"/>
      <c r="L36" s="10"/>
      <c r="M36" s="11"/>
      <c r="N36" s="11"/>
      <c r="O36" s="11"/>
      <c r="P36" s="11"/>
      <c r="Q36" s="10">
        <v>8010</v>
      </c>
      <c r="R36" s="11"/>
      <c r="S36" s="11"/>
      <c r="T36" s="11"/>
      <c r="U36" s="10"/>
      <c r="V36" s="10"/>
      <c r="W36" s="10"/>
      <c r="X36" s="10"/>
      <c r="Y36" s="11"/>
      <c r="Z36" s="10">
        <f t="shared" si="7"/>
        <v>8010</v>
      </c>
      <c r="AA36" s="10">
        <f t="shared" si="0"/>
        <v>0</v>
      </c>
      <c r="AB36" s="20"/>
    </row>
    <row r="37" spans="1:28" s="21" customFormat="1" ht="39" customHeight="1" x14ac:dyDescent="0.2">
      <c r="A37" s="7">
        <v>33</v>
      </c>
      <c r="B37" s="24" t="s">
        <v>86</v>
      </c>
      <c r="C37" s="35">
        <v>45306</v>
      </c>
      <c r="D37" s="36" t="s">
        <v>42</v>
      </c>
      <c r="E37" s="37" t="s">
        <v>533</v>
      </c>
      <c r="F37" s="37" t="s">
        <v>87</v>
      </c>
      <c r="G37" s="10">
        <v>305056.5</v>
      </c>
      <c r="H37" s="10">
        <f>26429.16+19682.96+23056.07+24290.14+25195.09+24619.24+27436.99</f>
        <v>170709.65</v>
      </c>
      <c r="I37" s="10">
        <f>26433.28+26202.97+21349</f>
        <v>73985.25</v>
      </c>
      <c r="J37" s="10"/>
      <c r="K37" s="10"/>
      <c r="L37" s="10"/>
      <c r="M37" s="11"/>
      <c r="N37" s="11"/>
      <c r="O37" s="11"/>
      <c r="P37" s="11"/>
      <c r="Q37" s="10">
        <f>26429.16+19682.96+23056.07+24290.14+25195.09+24619.24+27436.99</f>
        <v>170709.65</v>
      </c>
      <c r="R37" s="10">
        <f>26433.28+26202.97+21349</f>
        <v>73985.25</v>
      </c>
      <c r="S37" s="11"/>
      <c r="T37" s="11"/>
      <c r="U37" s="10"/>
      <c r="V37" s="10"/>
      <c r="W37" s="10"/>
      <c r="X37" s="10"/>
      <c r="Y37" s="11"/>
      <c r="Z37" s="10">
        <f t="shared" ref="Z37" si="8">SUM(Q37:Y37)</f>
        <v>244694.9</v>
      </c>
      <c r="AA37" s="10">
        <f t="shared" si="0"/>
        <v>60361.600000000006</v>
      </c>
      <c r="AB37" s="20"/>
    </row>
    <row r="38" spans="1:28" s="21" customFormat="1" ht="39" customHeight="1" x14ac:dyDescent="0.2">
      <c r="A38" s="7">
        <v>34</v>
      </c>
      <c r="B38" s="24" t="s">
        <v>342</v>
      </c>
      <c r="C38" s="35">
        <v>45281</v>
      </c>
      <c r="D38" s="36" t="s">
        <v>42</v>
      </c>
      <c r="E38" s="37" t="s">
        <v>343</v>
      </c>
      <c r="F38" s="37" t="s">
        <v>344</v>
      </c>
      <c r="G38" s="10">
        <v>918000</v>
      </c>
      <c r="H38" s="10"/>
      <c r="I38" s="10"/>
      <c r="J38" s="10"/>
      <c r="K38" s="10"/>
      <c r="L38" s="10"/>
      <c r="M38" s="11"/>
      <c r="N38" s="11"/>
      <c r="O38" s="11"/>
      <c r="P38" s="11">
        <f>76500+76500+76500+76500+76500+76500+76500+76500</f>
        <v>612000</v>
      </c>
      <c r="Q38" s="10"/>
      <c r="R38" s="11"/>
      <c r="S38" s="11"/>
      <c r="T38" s="11"/>
      <c r="U38" s="10"/>
      <c r="V38" s="10"/>
      <c r="W38" s="10"/>
      <c r="X38" s="10"/>
      <c r="Y38" s="11">
        <f>76500+76500+76500+76500+76500+76500+76500+76500</f>
        <v>612000</v>
      </c>
      <c r="Z38" s="10">
        <f t="shared" ref="Z38:Z45" si="9">SUM(Q38:Y38)</f>
        <v>612000</v>
      </c>
      <c r="AA38" s="10">
        <f t="shared" si="0"/>
        <v>306000</v>
      </c>
      <c r="AB38" s="20"/>
    </row>
    <row r="39" spans="1:28" s="21" customFormat="1" ht="39" customHeight="1" x14ac:dyDescent="0.2">
      <c r="A39" s="7">
        <v>35</v>
      </c>
      <c r="B39" s="24" t="s">
        <v>345</v>
      </c>
      <c r="C39" s="35">
        <v>45343</v>
      </c>
      <c r="D39" s="36" t="s">
        <v>42</v>
      </c>
      <c r="E39" s="37" t="s">
        <v>346</v>
      </c>
      <c r="F39" s="37" t="s">
        <v>347</v>
      </c>
      <c r="G39" s="10">
        <v>156156</v>
      </c>
      <c r="H39" s="10"/>
      <c r="I39" s="10">
        <f>14196+14196+14196</f>
        <v>42588</v>
      </c>
      <c r="J39" s="10"/>
      <c r="K39" s="10"/>
      <c r="L39" s="10"/>
      <c r="M39" s="11"/>
      <c r="N39" s="11"/>
      <c r="O39" s="11"/>
      <c r="P39" s="11">
        <f>14196+14196+14196+14196+14196+14196</f>
        <v>85176</v>
      </c>
      <c r="Q39" s="10"/>
      <c r="R39" s="10">
        <f>14196+14196+14196</f>
        <v>42588</v>
      </c>
      <c r="S39" s="10"/>
      <c r="T39" s="11"/>
      <c r="U39" s="10"/>
      <c r="V39" s="10"/>
      <c r="W39" s="10"/>
      <c r="X39" s="10"/>
      <c r="Y39" s="11">
        <f>14196+14196+14196+14196+14196+14196</f>
        <v>85176</v>
      </c>
      <c r="Z39" s="10">
        <f t="shared" si="9"/>
        <v>127764</v>
      </c>
      <c r="AA39" s="10">
        <f t="shared" si="0"/>
        <v>28392</v>
      </c>
      <c r="AB39" s="20"/>
    </row>
    <row r="40" spans="1:28" s="21" customFormat="1" ht="17.25" customHeight="1" x14ac:dyDescent="0.2">
      <c r="A40" s="7">
        <v>36</v>
      </c>
      <c r="B40" s="24" t="s">
        <v>348</v>
      </c>
      <c r="C40" s="35">
        <v>45302</v>
      </c>
      <c r="D40" s="36" t="s">
        <v>42</v>
      </c>
      <c r="E40" s="37" t="s">
        <v>349</v>
      </c>
      <c r="F40" s="37" t="s">
        <v>49</v>
      </c>
      <c r="G40" s="10">
        <v>52200</v>
      </c>
      <c r="H40" s="10">
        <v>4350</v>
      </c>
      <c r="I40" s="10"/>
      <c r="J40" s="10"/>
      <c r="K40" s="10"/>
      <c r="L40" s="10"/>
      <c r="M40" s="11"/>
      <c r="N40" s="11"/>
      <c r="O40" s="11"/>
      <c r="P40" s="11">
        <f>4350+4350+4350+4350+4350</f>
        <v>21750</v>
      </c>
      <c r="Q40" s="10">
        <v>4350</v>
      </c>
      <c r="R40" s="11"/>
      <c r="S40" s="11"/>
      <c r="T40" s="11"/>
      <c r="U40" s="10"/>
      <c r="V40" s="10"/>
      <c r="W40" s="10"/>
      <c r="X40" s="10"/>
      <c r="Y40" s="11">
        <f>4350+4350+4350+4350+4350</f>
        <v>21750</v>
      </c>
      <c r="Z40" s="10">
        <f t="shared" si="9"/>
        <v>26100</v>
      </c>
      <c r="AA40" s="10">
        <f t="shared" si="0"/>
        <v>26100</v>
      </c>
      <c r="AB40" s="20"/>
    </row>
    <row r="41" spans="1:28" s="21" customFormat="1" ht="25.5" customHeight="1" x14ac:dyDescent="0.2">
      <c r="A41" s="7">
        <v>37</v>
      </c>
      <c r="B41" s="24" t="s">
        <v>350</v>
      </c>
      <c r="C41" s="35">
        <v>45302</v>
      </c>
      <c r="D41" s="36" t="s">
        <v>42</v>
      </c>
      <c r="E41" s="37" t="s">
        <v>349</v>
      </c>
      <c r="F41" s="37" t="s">
        <v>351</v>
      </c>
      <c r="G41" s="10">
        <v>22200</v>
      </c>
      <c r="H41" s="10">
        <v>1850</v>
      </c>
      <c r="I41" s="10"/>
      <c r="J41" s="10"/>
      <c r="K41" s="10"/>
      <c r="L41" s="10"/>
      <c r="M41" s="11"/>
      <c r="N41" s="11"/>
      <c r="O41" s="11"/>
      <c r="P41" s="11">
        <f>1850+1850+1850+1850+1850</f>
        <v>9250</v>
      </c>
      <c r="Q41" s="10">
        <v>1850</v>
      </c>
      <c r="R41" s="11"/>
      <c r="S41" s="11"/>
      <c r="T41" s="11"/>
      <c r="U41" s="10"/>
      <c r="V41" s="10"/>
      <c r="W41" s="10"/>
      <c r="X41" s="10"/>
      <c r="Y41" s="11">
        <f>1850+1850+1850+1850+1850</f>
        <v>9250</v>
      </c>
      <c r="Z41" s="10">
        <f t="shared" si="9"/>
        <v>11100</v>
      </c>
      <c r="AA41" s="10">
        <f t="shared" si="0"/>
        <v>11100</v>
      </c>
      <c r="AB41" s="20"/>
    </row>
    <row r="42" spans="1:28" s="21" customFormat="1" ht="25.5" customHeight="1" x14ac:dyDescent="0.2">
      <c r="A42" s="7">
        <v>38</v>
      </c>
      <c r="B42" s="24" t="s">
        <v>352</v>
      </c>
      <c r="C42" s="35">
        <v>45302</v>
      </c>
      <c r="D42" s="36" t="s">
        <v>42</v>
      </c>
      <c r="E42" s="37" t="s">
        <v>349</v>
      </c>
      <c r="F42" s="37" t="s">
        <v>353</v>
      </c>
      <c r="G42" s="10">
        <v>18000</v>
      </c>
      <c r="H42" s="10">
        <v>1500</v>
      </c>
      <c r="I42" s="10"/>
      <c r="J42" s="10"/>
      <c r="K42" s="10"/>
      <c r="L42" s="10"/>
      <c r="M42" s="11"/>
      <c r="N42" s="11"/>
      <c r="O42" s="11"/>
      <c r="P42" s="11">
        <f>1500+1500+1500+1500+1500</f>
        <v>7500</v>
      </c>
      <c r="Q42" s="10">
        <v>1500</v>
      </c>
      <c r="R42" s="11"/>
      <c r="S42" s="11"/>
      <c r="T42" s="11"/>
      <c r="U42" s="10"/>
      <c r="V42" s="10"/>
      <c r="W42" s="10"/>
      <c r="X42" s="10"/>
      <c r="Y42" s="11">
        <f>1500+1500+1500+1500+1500</f>
        <v>7500</v>
      </c>
      <c r="Z42" s="10">
        <f t="shared" si="9"/>
        <v>9000</v>
      </c>
      <c r="AA42" s="10">
        <f t="shared" si="0"/>
        <v>9000</v>
      </c>
      <c r="AB42" s="20"/>
    </row>
    <row r="43" spans="1:28" s="21" customFormat="1" ht="15.75" customHeight="1" x14ac:dyDescent="0.2">
      <c r="A43" s="7">
        <v>39</v>
      </c>
      <c r="B43" s="24" t="s">
        <v>268</v>
      </c>
      <c r="C43" s="24" t="s">
        <v>354</v>
      </c>
      <c r="D43" s="35">
        <v>45291</v>
      </c>
      <c r="E43" s="37" t="s">
        <v>355</v>
      </c>
      <c r="F43" s="37" t="s">
        <v>356</v>
      </c>
      <c r="G43" s="16"/>
      <c r="H43" s="10"/>
      <c r="I43" s="10"/>
      <c r="J43" s="10"/>
      <c r="K43" s="10"/>
      <c r="L43" s="10"/>
      <c r="M43" s="11"/>
      <c r="N43" s="11"/>
      <c r="O43" s="11"/>
      <c r="P43" s="11">
        <v>7000</v>
      </c>
      <c r="Q43" s="10"/>
      <c r="R43" s="11"/>
      <c r="S43" s="11"/>
      <c r="T43" s="11"/>
      <c r="U43" s="10"/>
      <c r="V43" s="10"/>
      <c r="W43" s="10"/>
      <c r="X43" s="10"/>
      <c r="Y43" s="11">
        <v>7000</v>
      </c>
      <c r="Z43" s="10">
        <f t="shared" si="9"/>
        <v>7000</v>
      </c>
      <c r="AA43" s="10">
        <f t="shared" si="0"/>
        <v>-7000</v>
      </c>
      <c r="AB43" s="20"/>
    </row>
    <row r="44" spans="1:28" s="21" customFormat="1" ht="28.5" customHeight="1" x14ac:dyDescent="0.2">
      <c r="A44" s="7">
        <v>40</v>
      </c>
      <c r="B44" s="24" t="s">
        <v>357</v>
      </c>
      <c r="C44" s="24" t="s">
        <v>197</v>
      </c>
      <c r="D44" s="35">
        <v>45657</v>
      </c>
      <c r="E44" s="37" t="s">
        <v>358</v>
      </c>
      <c r="F44" s="37" t="s">
        <v>359</v>
      </c>
      <c r="G44" s="10">
        <v>49560</v>
      </c>
      <c r="H44" s="10">
        <v>4130</v>
      </c>
      <c r="I44" s="10">
        <v>4130</v>
      </c>
      <c r="J44" s="10"/>
      <c r="K44" s="10"/>
      <c r="L44" s="10"/>
      <c r="M44" s="11"/>
      <c r="N44" s="11"/>
      <c r="O44" s="11"/>
      <c r="P44" s="11">
        <f>4130+4130+4130</f>
        <v>12390</v>
      </c>
      <c r="Q44" s="10">
        <v>4130</v>
      </c>
      <c r="R44" s="10">
        <v>4130</v>
      </c>
      <c r="S44" s="10"/>
      <c r="T44" s="11"/>
      <c r="U44" s="10"/>
      <c r="V44" s="10"/>
      <c r="W44" s="10"/>
      <c r="X44" s="10"/>
      <c r="Y44" s="11">
        <f>4130+4130+4130</f>
        <v>12390</v>
      </c>
      <c r="Z44" s="10">
        <f t="shared" si="9"/>
        <v>20650</v>
      </c>
      <c r="AA44" s="10">
        <f t="shared" si="0"/>
        <v>28910</v>
      </c>
      <c r="AB44" s="20"/>
    </row>
    <row r="45" spans="1:28" s="21" customFormat="1" ht="26.25" customHeight="1" x14ac:dyDescent="0.2">
      <c r="A45" s="7">
        <v>41</v>
      </c>
      <c r="B45" s="24" t="s">
        <v>360</v>
      </c>
      <c r="C45" s="24" t="s">
        <v>361</v>
      </c>
      <c r="D45" s="25">
        <v>45657</v>
      </c>
      <c r="E45" s="37" t="s">
        <v>362</v>
      </c>
      <c r="F45" s="37" t="s">
        <v>363</v>
      </c>
      <c r="G45" s="10">
        <v>49900</v>
      </c>
      <c r="H45" s="10"/>
      <c r="I45" s="10"/>
      <c r="J45" s="10"/>
      <c r="K45" s="10"/>
      <c r="L45" s="10"/>
      <c r="M45" s="11"/>
      <c r="N45" s="11"/>
      <c r="O45" s="11"/>
      <c r="P45" s="11">
        <v>8400</v>
      </c>
      <c r="Q45" s="10"/>
      <c r="R45" s="11"/>
      <c r="S45" s="11"/>
      <c r="T45" s="11"/>
      <c r="U45" s="10"/>
      <c r="V45" s="10"/>
      <c r="W45" s="10"/>
      <c r="X45" s="10"/>
      <c r="Y45" s="11">
        <v>8400</v>
      </c>
      <c r="Z45" s="10">
        <f t="shared" si="9"/>
        <v>8400</v>
      </c>
      <c r="AA45" s="10">
        <f t="shared" si="0"/>
        <v>41500</v>
      </c>
      <c r="AB45" s="20"/>
    </row>
    <row r="46" spans="1:28" s="21" customFormat="1" ht="26.25" customHeight="1" x14ac:dyDescent="0.2">
      <c r="A46" s="7">
        <v>42</v>
      </c>
      <c r="B46" s="24" t="s">
        <v>364</v>
      </c>
      <c r="C46" s="24" t="s">
        <v>365</v>
      </c>
      <c r="D46" s="25">
        <v>45291</v>
      </c>
      <c r="E46" s="5" t="s">
        <v>228</v>
      </c>
      <c r="F46" s="5" t="s">
        <v>229</v>
      </c>
      <c r="G46" s="16"/>
      <c r="H46" s="10"/>
      <c r="I46" s="10"/>
      <c r="J46" s="10"/>
      <c r="K46" s="10"/>
      <c r="L46" s="10"/>
      <c r="M46" s="11"/>
      <c r="N46" s="11"/>
      <c r="O46" s="11"/>
      <c r="P46" s="11">
        <f>78520+73840+62790+76440+102700+75660</f>
        <v>469950</v>
      </c>
      <c r="Q46" s="10"/>
      <c r="R46" s="11"/>
      <c r="S46" s="11"/>
      <c r="T46" s="11"/>
      <c r="U46" s="10"/>
      <c r="V46" s="10"/>
      <c r="W46" s="10"/>
      <c r="X46" s="10"/>
      <c r="Y46" s="11">
        <f>78520+73840+62790+76440+102700+75660</f>
        <v>469950</v>
      </c>
      <c r="Z46" s="10">
        <f t="shared" ref="Z46" si="10">SUM(Q46:Y46)</f>
        <v>469950</v>
      </c>
      <c r="AA46" s="10">
        <f t="shared" si="0"/>
        <v>-469950</v>
      </c>
      <c r="AB46" s="20"/>
    </row>
    <row r="47" spans="1:28" s="21" customFormat="1" ht="18" customHeight="1" x14ac:dyDescent="0.2">
      <c r="A47" s="7">
        <v>43</v>
      </c>
      <c r="B47" s="24" t="s">
        <v>383</v>
      </c>
      <c r="C47" s="24" t="s">
        <v>384</v>
      </c>
      <c r="D47" s="25">
        <v>45657</v>
      </c>
      <c r="E47" s="5" t="s">
        <v>385</v>
      </c>
      <c r="F47" s="5" t="s">
        <v>386</v>
      </c>
      <c r="G47" s="10">
        <v>99900</v>
      </c>
      <c r="H47" s="10"/>
      <c r="I47" s="10"/>
      <c r="J47" s="10"/>
      <c r="K47" s="10"/>
      <c r="L47" s="10"/>
      <c r="M47" s="11"/>
      <c r="N47" s="11"/>
      <c r="O47" s="11"/>
      <c r="P47" s="11">
        <f>10900+7000+2000+5300+2800+15800+1600+6900</f>
        <v>52300</v>
      </c>
      <c r="Q47" s="10"/>
      <c r="R47" s="11"/>
      <c r="S47" s="11"/>
      <c r="T47" s="11"/>
      <c r="U47" s="10"/>
      <c r="V47" s="10"/>
      <c r="W47" s="10"/>
      <c r="X47" s="10"/>
      <c r="Y47" s="11">
        <f>10900+7000+2000+5300+2800+15800+1600+6900</f>
        <v>52300</v>
      </c>
      <c r="Z47" s="10">
        <f t="shared" ref="Z47:Z49" si="11">SUM(Q47:Y47)</f>
        <v>52300</v>
      </c>
      <c r="AA47" s="10">
        <f t="shared" si="0"/>
        <v>47600</v>
      </c>
      <c r="AB47" s="20"/>
    </row>
    <row r="48" spans="1:28" s="21" customFormat="1" ht="18" customHeight="1" x14ac:dyDescent="0.2">
      <c r="A48" s="7">
        <v>44</v>
      </c>
      <c r="B48" s="24" t="s">
        <v>387</v>
      </c>
      <c r="C48" s="24" t="s">
        <v>122</v>
      </c>
      <c r="D48" s="25">
        <v>45657</v>
      </c>
      <c r="E48" s="41" t="s">
        <v>388</v>
      </c>
      <c r="F48" s="5" t="s">
        <v>389</v>
      </c>
      <c r="G48" s="10">
        <v>45000</v>
      </c>
      <c r="H48" s="10"/>
      <c r="I48" s="10"/>
      <c r="J48" s="10"/>
      <c r="K48" s="10"/>
      <c r="L48" s="10"/>
      <c r="M48" s="11"/>
      <c r="N48" s="11"/>
      <c r="O48" s="11"/>
      <c r="P48" s="11">
        <f>3750+3750</f>
        <v>7500</v>
      </c>
      <c r="Q48" s="10"/>
      <c r="R48" s="11"/>
      <c r="S48" s="11"/>
      <c r="T48" s="11"/>
      <c r="U48" s="10"/>
      <c r="V48" s="10"/>
      <c r="W48" s="10"/>
      <c r="X48" s="10"/>
      <c r="Y48" s="11">
        <f>3750+3750</f>
        <v>7500</v>
      </c>
      <c r="Z48" s="10">
        <f t="shared" si="11"/>
        <v>7500</v>
      </c>
      <c r="AA48" s="10">
        <f t="shared" si="0"/>
        <v>37500</v>
      </c>
      <c r="AB48" s="20"/>
    </row>
    <row r="49" spans="1:28" s="21" customFormat="1" ht="38.25" customHeight="1" x14ac:dyDescent="0.2">
      <c r="A49" s="7">
        <v>45</v>
      </c>
      <c r="B49" s="24" t="s">
        <v>390</v>
      </c>
      <c r="C49" s="24" t="s">
        <v>131</v>
      </c>
      <c r="D49" s="25">
        <v>45657</v>
      </c>
      <c r="E49" s="41" t="s">
        <v>388</v>
      </c>
      <c r="F49" s="5" t="s">
        <v>391</v>
      </c>
      <c r="G49" s="10">
        <v>8400</v>
      </c>
      <c r="H49" s="10"/>
      <c r="I49" s="10"/>
      <c r="J49" s="10"/>
      <c r="K49" s="10"/>
      <c r="L49" s="10"/>
      <c r="M49" s="11"/>
      <c r="N49" s="11"/>
      <c r="O49" s="11"/>
      <c r="P49" s="11">
        <f>700+700</f>
        <v>1400</v>
      </c>
      <c r="Q49" s="10"/>
      <c r="R49" s="11"/>
      <c r="S49" s="11"/>
      <c r="T49" s="11"/>
      <c r="U49" s="10"/>
      <c r="V49" s="10"/>
      <c r="W49" s="10"/>
      <c r="X49" s="10"/>
      <c r="Y49" s="11">
        <f>700+700</f>
        <v>1400</v>
      </c>
      <c r="Z49" s="10">
        <f t="shared" si="11"/>
        <v>1400</v>
      </c>
      <c r="AA49" s="10">
        <f t="shared" si="0"/>
        <v>7000</v>
      </c>
      <c r="AB49" s="20"/>
    </row>
    <row r="50" spans="1:28" s="21" customFormat="1" ht="38.25" customHeight="1" x14ac:dyDescent="0.2">
      <c r="A50" s="7">
        <v>46</v>
      </c>
      <c r="B50" s="24" t="s">
        <v>392</v>
      </c>
      <c r="C50" s="24" t="s">
        <v>393</v>
      </c>
      <c r="D50" s="25">
        <v>45291</v>
      </c>
      <c r="E50" s="41" t="s">
        <v>394</v>
      </c>
      <c r="F50" s="5" t="s">
        <v>389</v>
      </c>
      <c r="G50" s="16"/>
      <c r="H50" s="10"/>
      <c r="I50" s="10"/>
      <c r="J50" s="10"/>
      <c r="K50" s="10"/>
      <c r="L50" s="10"/>
      <c r="M50" s="11"/>
      <c r="N50" s="11"/>
      <c r="O50" s="11"/>
      <c r="P50" s="11">
        <f>33749.1+34041.6+32721.6+33653.44</f>
        <v>134165.74</v>
      </c>
      <c r="Q50" s="10"/>
      <c r="R50" s="11"/>
      <c r="S50" s="11"/>
      <c r="T50" s="11"/>
      <c r="U50" s="10"/>
      <c r="V50" s="10"/>
      <c r="W50" s="10"/>
      <c r="X50" s="10"/>
      <c r="Y50" s="11">
        <f>33749.1+34041.6+32721.6+33653.44</f>
        <v>134165.74</v>
      </c>
      <c r="Z50" s="10">
        <f t="shared" ref="Z50" si="12">SUM(Q50:Y50)</f>
        <v>134165.74</v>
      </c>
      <c r="AA50" s="10">
        <f t="shared" si="0"/>
        <v>-134165.74</v>
      </c>
      <c r="AB50" s="20"/>
    </row>
    <row r="51" spans="1:28" s="21" customFormat="1" ht="20.25" customHeight="1" x14ac:dyDescent="0.2">
      <c r="A51" s="7">
        <v>47</v>
      </c>
      <c r="B51" s="24" t="s">
        <v>404</v>
      </c>
      <c r="C51" s="24" t="s">
        <v>405</v>
      </c>
      <c r="D51" s="25"/>
      <c r="E51" s="5" t="s">
        <v>406</v>
      </c>
      <c r="F51" s="5" t="s">
        <v>407</v>
      </c>
      <c r="G51" s="10">
        <v>7920</v>
      </c>
      <c r="H51" s="10">
        <v>7920</v>
      </c>
      <c r="I51" s="10"/>
      <c r="J51" s="10"/>
      <c r="K51" s="10"/>
      <c r="L51" s="10"/>
      <c r="M51" s="11"/>
      <c r="N51" s="11"/>
      <c r="O51" s="11"/>
      <c r="P51" s="11"/>
      <c r="Q51" s="10">
        <v>7920</v>
      </c>
      <c r="R51" s="11"/>
      <c r="S51" s="11"/>
      <c r="T51" s="11"/>
      <c r="U51" s="10"/>
      <c r="V51" s="10"/>
      <c r="W51" s="10"/>
      <c r="X51" s="10"/>
      <c r="Y51" s="11"/>
      <c r="Z51" s="10">
        <f t="shared" ref="Z51:Z69" si="13">SUM(Q51:Y51)</f>
        <v>7920</v>
      </c>
      <c r="AA51" s="10">
        <f t="shared" si="0"/>
        <v>0</v>
      </c>
      <c r="AB51" s="20"/>
    </row>
    <row r="52" spans="1:28" s="21" customFormat="1" ht="38.25" customHeight="1" x14ac:dyDescent="0.2">
      <c r="A52" s="7">
        <v>48</v>
      </c>
      <c r="B52" s="24" t="s">
        <v>411</v>
      </c>
      <c r="C52" s="24" t="s">
        <v>412</v>
      </c>
      <c r="D52" s="25">
        <v>45657</v>
      </c>
      <c r="E52" s="5" t="s">
        <v>51</v>
      </c>
      <c r="F52" s="5" t="s">
        <v>52</v>
      </c>
      <c r="G52" s="10">
        <v>30000</v>
      </c>
      <c r="H52" s="10"/>
      <c r="I52" s="10">
        <f>1561+2260+2260+2810+2810+2810+550+3360+3360</f>
        <v>21781</v>
      </c>
      <c r="J52" s="10"/>
      <c r="K52" s="10"/>
      <c r="L52" s="10">
        <v>2810</v>
      </c>
      <c r="M52" s="11"/>
      <c r="N52" s="11"/>
      <c r="O52" s="11"/>
      <c r="P52" s="11"/>
      <c r="Q52" s="10"/>
      <c r="R52" s="10">
        <f>1561+2260+2260+2810+2810+2810+550+3360+3360</f>
        <v>21781</v>
      </c>
      <c r="S52" s="10"/>
      <c r="T52" s="11"/>
      <c r="U52" s="10">
        <v>2810</v>
      </c>
      <c r="V52" s="10"/>
      <c r="W52" s="10"/>
      <c r="X52" s="10"/>
      <c r="Y52" s="11"/>
      <c r="Z52" s="10">
        <f t="shared" si="13"/>
        <v>24591</v>
      </c>
      <c r="AA52" s="10">
        <f t="shared" si="0"/>
        <v>5409</v>
      </c>
      <c r="AB52" s="20"/>
    </row>
    <row r="53" spans="1:28" s="21" customFormat="1" ht="36.75" customHeight="1" x14ac:dyDescent="0.2">
      <c r="A53" s="7">
        <v>49</v>
      </c>
      <c r="B53" s="24" t="s">
        <v>433</v>
      </c>
      <c r="C53" s="24" t="s">
        <v>434</v>
      </c>
      <c r="D53" s="25">
        <v>45291</v>
      </c>
      <c r="E53" s="5" t="s">
        <v>436</v>
      </c>
      <c r="F53" s="5" t="s">
        <v>435</v>
      </c>
      <c r="G53" s="10">
        <v>53950</v>
      </c>
      <c r="H53" s="10"/>
      <c r="I53" s="10"/>
      <c r="J53" s="10"/>
      <c r="K53" s="10"/>
      <c r="L53" s="10"/>
      <c r="M53" s="11"/>
      <c r="N53" s="11"/>
      <c r="O53" s="11"/>
      <c r="P53" s="11">
        <v>53950</v>
      </c>
      <c r="Q53" s="10"/>
      <c r="R53" s="10"/>
      <c r="S53" s="10"/>
      <c r="T53" s="11"/>
      <c r="U53" s="10"/>
      <c r="V53" s="10"/>
      <c r="W53" s="10"/>
      <c r="X53" s="10"/>
      <c r="Y53" s="11">
        <v>53950</v>
      </c>
      <c r="Z53" s="10">
        <f t="shared" si="13"/>
        <v>53950</v>
      </c>
      <c r="AA53" s="10">
        <f t="shared" si="0"/>
        <v>0</v>
      </c>
      <c r="AB53" s="20"/>
    </row>
    <row r="54" spans="1:28" s="21" customFormat="1" ht="16.5" customHeight="1" x14ac:dyDescent="0.2">
      <c r="A54" s="7">
        <v>50</v>
      </c>
      <c r="B54" s="24" t="s">
        <v>437</v>
      </c>
      <c r="C54" s="24" t="s">
        <v>438</v>
      </c>
      <c r="D54" s="25">
        <v>45291</v>
      </c>
      <c r="E54" s="5" t="s">
        <v>439</v>
      </c>
      <c r="F54" s="5" t="s">
        <v>440</v>
      </c>
      <c r="G54" s="10">
        <v>49900</v>
      </c>
      <c r="H54" s="10"/>
      <c r="I54" s="10"/>
      <c r="J54" s="10"/>
      <c r="K54" s="10"/>
      <c r="L54" s="10"/>
      <c r="M54" s="11"/>
      <c r="N54" s="11"/>
      <c r="O54" s="11"/>
      <c r="P54" s="11">
        <v>49900</v>
      </c>
      <c r="Q54" s="10"/>
      <c r="R54" s="10"/>
      <c r="S54" s="10"/>
      <c r="T54" s="11"/>
      <c r="U54" s="10"/>
      <c r="V54" s="10"/>
      <c r="W54" s="10"/>
      <c r="X54" s="10"/>
      <c r="Y54" s="11">
        <v>49900</v>
      </c>
      <c r="Z54" s="10">
        <f t="shared" si="13"/>
        <v>49900</v>
      </c>
      <c r="AA54" s="10">
        <f t="shared" si="0"/>
        <v>0</v>
      </c>
      <c r="AB54" s="20"/>
    </row>
    <row r="55" spans="1:28" s="21" customFormat="1" ht="37.5" customHeight="1" x14ac:dyDescent="0.2">
      <c r="A55" s="7">
        <v>51</v>
      </c>
      <c r="B55" s="24" t="s">
        <v>89</v>
      </c>
      <c r="C55" s="24" t="s">
        <v>444</v>
      </c>
      <c r="D55" s="25">
        <v>45291</v>
      </c>
      <c r="E55" s="5" t="s">
        <v>445</v>
      </c>
      <c r="F55" s="5" t="s">
        <v>446</v>
      </c>
      <c r="G55" s="16"/>
      <c r="H55" s="10"/>
      <c r="I55" s="10"/>
      <c r="J55" s="10"/>
      <c r="K55" s="10"/>
      <c r="L55" s="10"/>
      <c r="M55" s="11"/>
      <c r="N55" s="11"/>
      <c r="O55" s="11"/>
      <c r="P55" s="11">
        <f>17231.7+37138</f>
        <v>54369.7</v>
      </c>
      <c r="Q55" s="10"/>
      <c r="R55" s="10"/>
      <c r="S55" s="10"/>
      <c r="T55" s="11"/>
      <c r="U55" s="10"/>
      <c r="V55" s="10"/>
      <c r="W55" s="10"/>
      <c r="X55" s="10"/>
      <c r="Y55" s="11">
        <f>17231.7+37138</f>
        <v>54369.7</v>
      </c>
      <c r="Z55" s="10">
        <f t="shared" si="13"/>
        <v>54369.7</v>
      </c>
      <c r="AA55" s="10">
        <f t="shared" si="0"/>
        <v>-54369.7</v>
      </c>
      <c r="AB55" s="20"/>
    </row>
    <row r="56" spans="1:28" s="21" customFormat="1" ht="27" customHeight="1" x14ac:dyDescent="0.2">
      <c r="A56" s="7">
        <v>52</v>
      </c>
      <c r="B56" s="24" t="s">
        <v>447</v>
      </c>
      <c r="C56" s="24" t="s">
        <v>448</v>
      </c>
      <c r="D56" s="25">
        <v>45291</v>
      </c>
      <c r="E56" s="5" t="s">
        <v>449</v>
      </c>
      <c r="F56" s="5" t="s">
        <v>450</v>
      </c>
      <c r="G56" s="10">
        <v>40000</v>
      </c>
      <c r="H56" s="10"/>
      <c r="I56" s="10"/>
      <c r="J56" s="10"/>
      <c r="K56" s="10"/>
      <c r="L56" s="10"/>
      <c r="M56" s="11"/>
      <c r="N56" s="11"/>
      <c r="O56" s="11"/>
      <c r="P56" s="11">
        <v>40000</v>
      </c>
      <c r="Q56" s="10"/>
      <c r="R56" s="10"/>
      <c r="S56" s="10"/>
      <c r="T56" s="11"/>
      <c r="U56" s="10"/>
      <c r="V56" s="10"/>
      <c r="W56" s="10"/>
      <c r="X56" s="10"/>
      <c r="Y56" s="11">
        <v>40000</v>
      </c>
      <c r="Z56" s="10">
        <f t="shared" si="13"/>
        <v>40000</v>
      </c>
      <c r="AA56" s="10">
        <f t="shared" si="0"/>
        <v>0</v>
      </c>
      <c r="AB56" s="20"/>
    </row>
    <row r="57" spans="1:28" s="21" customFormat="1" ht="27" customHeight="1" x14ac:dyDescent="0.2">
      <c r="A57" s="7">
        <v>53</v>
      </c>
      <c r="B57" s="24" t="s">
        <v>451</v>
      </c>
      <c r="C57" s="24" t="s">
        <v>452</v>
      </c>
      <c r="D57" s="25">
        <v>45657</v>
      </c>
      <c r="E57" s="5" t="s">
        <v>453</v>
      </c>
      <c r="F57" s="5" t="s">
        <v>454</v>
      </c>
      <c r="G57" s="10">
        <v>9600</v>
      </c>
      <c r="H57" s="10">
        <f>800+800+800+800+800+800+800+800+800</f>
        <v>7200</v>
      </c>
      <c r="I57" s="10">
        <v>800</v>
      </c>
      <c r="J57" s="10"/>
      <c r="K57" s="10"/>
      <c r="L57" s="10"/>
      <c r="M57" s="11"/>
      <c r="N57" s="11"/>
      <c r="O57" s="11"/>
      <c r="P57" s="11"/>
      <c r="Q57" s="10">
        <f>800+800+800+800+800+800+800+800+800</f>
        <v>7200</v>
      </c>
      <c r="R57" s="10">
        <v>800</v>
      </c>
      <c r="S57" s="10"/>
      <c r="T57" s="11"/>
      <c r="U57" s="10"/>
      <c r="V57" s="10"/>
      <c r="W57" s="10"/>
      <c r="X57" s="10"/>
      <c r="Y57" s="11"/>
      <c r="Z57" s="10">
        <f t="shared" si="13"/>
        <v>8000</v>
      </c>
      <c r="AA57" s="10">
        <f t="shared" si="0"/>
        <v>1600</v>
      </c>
      <c r="AB57" s="20"/>
    </row>
    <row r="58" spans="1:28" s="21" customFormat="1" ht="37.5" customHeight="1" x14ac:dyDescent="0.2">
      <c r="A58" s="7">
        <v>54</v>
      </c>
      <c r="B58" s="24" t="s">
        <v>455</v>
      </c>
      <c r="C58" s="24" t="s">
        <v>452</v>
      </c>
      <c r="D58" s="25">
        <v>45657</v>
      </c>
      <c r="E58" s="5" t="s">
        <v>456</v>
      </c>
      <c r="F58" s="5" t="s">
        <v>457</v>
      </c>
      <c r="G58" s="10">
        <v>9600</v>
      </c>
      <c r="H58" s="10">
        <f>800+800+800+800+800+800+800+800</f>
        <v>6400</v>
      </c>
      <c r="I58" s="10">
        <v>800</v>
      </c>
      <c r="J58" s="10"/>
      <c r="K58" s="10"/>
      <c r="L58" s="10"/>
      <c r="M58" s="11"/>
      <c r="N58" s="11"/>
      <c r="O58" s="11"/>
      <c r="P58" s="11"/>
      <c r="Q58" s="10">
        <f>800+800+800+800+800+800+800+800</f>
        <v>6400</v>
      </c>
      <c r="R58" s="10">
        <v>800</v>
      </c>
      <c r="S58" s="10"/>
      <c r="T58" s="11"/>
      <c r="U58" s="10"/>
      <c r="V58" s="10"/>
      <c r="W58" s="10"/>
      <c r="X58" s="10"/>
      <c r="Y58" s="11"/>
      <c r="Z58" s="10">
        <f t="shared" si="13"/>
        <v>7200</v>
      </c>
      <c r="AA58" s="10">
        <f t="shared" si="0"/>
        <v>2400</v>
      </c>
      <c r="AB58" s="20"/>
    </row>
    <row r="59" spans="1:28" s="21" customFormat="1" ht="18" customHeight="1" x14ac:dyDescent="0.2">
      <c r="A59" s="7">
        <v>55</v>
      </c>
      <c r="B59" s="24" t="s">
        <v>466</v>
      </c>
      <c r="C59" s="24" t="s">
        <v>467</v>
      </c>
      <c r="D59" s="25">
        <v>45291</v>
      </c>
      <c r="E59" s="5" t="s">
        <v>468</v>
      </c>
      <c r="F59" s="5" t="s">
        <v>469</v>
      </c>
      <c r="G59" s="10">
        <v>10555</v>
      </c>
      <c r="H59" s="10"/>
      <c r="I59" s="10">
        <v>10555</v>
      </c>
      <c r="J59" s="10"/>
      <c r="K59" s="10"/>
      <c r="L59" s="10"/>
      <c r="M59" s="11"/>
      <c r="N59" s="11"/>
      <c r="O59" s="11"/>
      <c r="P59" s="11"/>
      <c r="Q59" s="10"/>
      <c r="R59" s="10">
        <v>10555</v>
      </c>
      <c r="S59" s="10"/>
      <c r="T59" s="11"/>
      <c r="U59" s="10"/>
      <c r="V59" s="10"/>
      <c r="W59" s="10"/>
      <c r="X59" s="10"/>
      <c r="Y59" s="11"/>
      <c r="Z59" s="10">
        <f t="shared" si="13"/>
        <v>10555</v>
      </c>
      <c r="AA59" s="10">
        <f t="shared" si="0"/>
        <v>0</v>
      </c>
      <c r="AB59" s="20"/>
    </row>
    <row r="60" spans="1:28" s="21" customFormat="1" ht="39" customHeight="1" x14ac:dyDescent="0.2">
      <c r="A60" s="7">
        <v>56</v>
      </c>
      <c r="B60" s="24" t="s">
        <v>470</v>
      </c>
      <c r="C60" s="24" t="s">
        <v>471</v>
      </c>
      <c r="D60" s="25"/>
      <c r="E60" s="5" t="s">
        <v>472</v>
      </c>
      <c r="F60" s="5" t="s">
        <v>473</v>
      </c>
      <c r="G60" s="10">
        <v>14366</v>
      </c>
      <c r="H60" s="10">
        <v>14366</v>
      </c>
      <c r="I60" s="10"/>
      <c r="J60" s="10"/>
      <c r="K60" s="10"/>
      <c r="L60" s="10"/>
      <c r="M60" s="11"/>
      <c r="N60" s="11"/>
      <c r="O60" s="11"/>
      <c r="P60" s="11"/>
      <c r="Q60" s="10">
        <v>14366</v>
      </c>
      <c r="R60" s="10"/>
      <c r="S60" s="10"/>
      <c r="T60" s="11"/>
      <c r="U60" s="10"/>
      <c r="V60" s="10"/>
      <c r="W60" s="10"/>
      <c r="X60" s="10"/>
      <c r="Y60" s="11"/>
      <c r="Z60" s="10">
        <f t="shared" si="13"/>
        <v>14366</v>
      </c>
      <c r="AA60" s="10">
        <f t="shared" si="0"/>
        <v>0</v>
      </c>
      <c r="AB60" s="20"/>
    </row>
    <row r="61" spans="1:28" s="21" customFormat="1" ht="27" customHeight="1" x14ac:dyDescent="0.2">
      <c r="A61" s="7">
        <v>57</v>
      </c>
      <c r="B61" s="24" t="s">
        <v>476</v>
      </c>
      <c r="C61" s="24" t="s">
        <v>471</v>
      </c>
      <c r="D61" s="25">
        <v>45657</v>
      </c>
      <c r="E61" s="6" t="s">
        <v>474</v>
      </c>
      <c r="F61" s="5" t="s">
        <v>477</v>
      </c>
      <c r="G61" s="10">
        <v>3030</v>
      </c>
      <c r="H61" s="10">
        <v>3030</v>
      </c>
      <c r="I61" s="10"/>
      <c r="J61" s="10"/>
      <c r="K61" s="10"/>
      <c r="L61" s="10"/>
      <c r="M61" s="11"/>
      <c r="N61" s="11"/>
      <c r="O61" s="11"/>
      <c r="P61" s="11"/>
      <c r="Q61" s="10">
        <v>3030</v>
      </c>
      <c r="R61" s="10"/>
      <c r="S61" s="10"/>
      <c r="T61" s="11"/>
      <c r="U61" s="10"/>
      <c r="V61" s="10"/>
      <c r="W61" s="10"/>
      <c r="X61" s="10"/>
      <c r="Y61" s="11"/>
      <c r="Z61" s="10">
        <f t="shared" si="13"/>
        <v>3030</v>
      </c>
      <c r="AA61" s="10">
        <f t="shared" si="0"/>
        <v>0</v>
      </c>
      <c r="AB61" s="20"/>
    </row>
    <row r="62" spans="1:28" s="21" customFormat="1" ht="27" customHeight="1" x14ac:dyDescent="0.2">
      <c r="A62" s="7">
        <v>58</v>
      </c>
      <c r="B62" s="24" t="s">
        <v>478</v>
      </c>
      <c r="C62" s="24" t="s">
        <v>459</v>
      </c>
      <c r="D62" s="25">
        <v>45657</v>
      </c>
      <c r="E62" s="6" t="s">
        <v>479</v>
      </c>
      <c r="F62" s="5" t="s">
        <v>100</v>
      </c>
      <c r="G62" s="10">
        <v>3580</v>
      </c>
      <c r="H62" s="10"/>
      <c r="I62" s="10"/>
      <c r="J62" s="10"/>
      <c r="K62" s="10"/>
      <c r="L62" s="10"/>
      <c r="M62" s="11"/>
      <c r="N62" s="11"/>
      <c r="O62" s="11"/>
      <c r="P62" s="11">
        <v>3580</v>
      </c>
      <c r="Q62" s="10"/>
      <c r="R62" s="10"/>
      <c r="S62" s="10"/>
      <c r="T62" s="11"/>
      <c r="U62" s="10"/>
      <c r="V62" s="10"/>
      <c r="W62" s="10"/>
      <c r="X62" s="10"/>
      <c r="Y62" s="11">
        <v>3580</v>
      </c>
      <c r="Z62" s="10">
        <f t="shared" si="13"/>
        <v>3580</v>
      </c>
      <c r="AA62" s="10">
        <f t="shared" si="0"/>
        <v>0</v>
      </c>
      <c r="AB62" s="20"/>
    </row>
    <row r="63" spans="1:28" s="21" customFormat="1" ht="24" customHeight="1" x14ac:dyDescent="0.2">
      <c r="A63" s="7">
        <v>59</v>
      </c>
      <c r="B63" s="24" t="s">
        <v>295</v>
      </c>
      <c r="C63" s="24" t="s">
        <v>480</v>
      </c>
      <c r="D63" s="28"/>
      <c r="E63" s="6" t="s">
        <v>481</v>
      </c>
      <c r="F63" s="5" t="s">
        <v>482</v>
      </c>
      <c r="G63" s="16"/>
      <c r="H63" s="10"/>
      <c r="I63" s="10"/>
      <c r="J63" s="10"/>
      <c r="K63" s="10"/>
      <c r="L63" s="10"/>
      <c r="M63" s="11"/>
      <c r="N63" s="11"/>
      <c r="O63" s="11"/>
      <c r="P63" s="11">
        <f>8250+8250</f>
        <v>16500</v>
      </c>
      <c r="Q63" s="10"/>
      <c r="R63" s="10"/>
      <c r="S63" s="10"/>
      <c r="T63" s="11"/>
      <c r="U63" s="10"/>
      <c r="V63" s="10"/>
      <c r="W63" s="10"/>
      <c r="X63" s="10"/>
      <c r="Y63" s="11">
        <f>8250+8250</f>
        <v>16500</v>
      </c>
      <c r="Z63" s="10">
        <f t="shared" si="13"/>
        <v>16500</v>
      </c>
      <c r="AA63" s="10">
        <f t="shared" si="0"/>
        <v>-16500</v>
      </c>
      <c r="AB63" s="20"/>
    </row>
    <row r="64" spans="1:28" s="21" customFormat="1" ht="24" customHeight="1" x14ac:dyDescent="0.2">
      <c r="A64" s="7">
        <v>60</v>
      </c>
      <c r="B64" s="24" t="s">
        <v>296</v>
      </c>
      <c r="C64" s="24" t="s">
        <v>480</v>
      </c>
      <c r="D64" s="28"/>
      <c r="E64" s="6" t="s">
        <v>481</v>
      </c>
      <c r="F64" s="5" t="s">
        <v>482</v>
      </c>
      <c r="G64" s="16"/>
      <c r="H64" s="10"/>
      <c r="I64" s="10"/>
      <c r="J64" s="10"/>
      <c r="K64" s="10"/>
      <c r="L64" s="10"/>
      <c r="M64" s="11"/>
      <c r="N64" s="11"/>
      <c r="O64" s="11"/>
      <c r="P64" s="11">
        <f>8250+8250</f>
        <v>16500</v>
      </c>
      <c r="Q64" s="10"/>
      <c r="R64" s="10"/>
      <c r="S64" s="10"/>
      <c r="T64" s="11"/>
      <c r="U64" s="10"/>
      <c r="V64" s="10"/>
      <c r="W64" s="10"/>
      <c r="X64" s="10"/>
      <c r="Y64" s="11">
        <f>8250+8250</f>
        <v>16500</v>
      </c>
      <c r="Z64" s="10">
        <f t="shared" si="13"/>
        <v>16500</v>
      </c>
      <c r="AA64" s="10">
        <f t="shared" si="0"/>
        <v>-16500</v>
      </c>
      <c r="AB64" s="20"/>
    </row>
    <row r="65" spans="1:28" s="21" customFormat="1" ht="24" customHeight="1" x14ac:dyDescent="0.2">
      <c r="A65" s="7">
        <v>61</v>
      </c>
      <c r="B65" s="24" t="s">
        <v>297</v>
      </c>
      <c r="C65" s="24" t="s">
        <v>480</v>
      </c>
      <c r="D65" s="28"/>
      <c r="E65" s="6" t="s">
        <v>481</v>
      </c>
      <c r="F65" s="5" t="s">
        <v>482</v>
      </c>
      <c r="G65" s="16"/>
      <c r="H65" s="10"/>
      <c r="I65" s="10"/>
      <c r="J65" s="10"/>
      <c r="K65" s="10"/>
      <c r="L65" s="10"/>
      <c r="M65" s="11"/>
      <c r="N65" s="11"/>
      <c r="O65" s="11"/>
      <c r="P65" s="11">
        <v>8250</v>
      </c>
      <c r="Q65" s="10"/>
      <c r="R65" s="10"/>
      <c r="S65" s="10"/>
      <c r="T65" s="11"/>
      <c r="U65" s="10"/>
      <c r="V65" s="10"/>
      <c r="W65" s="10"/>
      <c r="X65" s="10"/>
      <c r="Y65" s="11">
        <v>8250</v>
      </c>
      <c r="Z65" s="10">
        <f t="shared" si="13"/>
        <v>8250</v>
      </c>
      <c r="AA65" s="10">
        <f t="shared" si="0"/>
        <v>-8250</v>
      </c>
      <c r="AB65" s="20"/>
    </row>
    <row r="66" spans="1:28" s="21" customFormat="1" ht="24" customHeight="1" x14ac:dyDescent="0.2">
      <c r="A66" s="7">
        <v>62</v>
      </c>
      <c r="B66" s="24" t="s">
        <v>298</v>
      </c>
      <c r="C66" s="24" t="s">
        <v>480</v>
      </c>
      <c r="D66" s="28"/>
      <c r="E66" s="6" t="s">
        <v>481</v>
      </c>
      <c r="F66" s="5" t="s">
        <v>482</v>
      </c>
      <c r="G66" s="16"/>
      <c r="H66" s="10"/>
      <c r="I66" s="10"/>
      <c r="J66" s="10"/>
      <c r="K66" s="10"/>
      <c r="L66" s="10"/>
      <c r="M66" s="11"/>
      <c r="N66" s="11"/>
      <c r="O66" s="11"/>
      <c r="P66" s="11">
        <v>4000</v>
      </c>
      <c r="Q66" s="10"/>
      <c r="R66" s="10"/>
      <c r="S66" s="10"/>
      <c r="T66" s="11"/>
      <c r="U66" s="10"/>
      <c r="V66" s="10"/>
      <c r="W66" s="10"/>
      <c r="X66" s="10"/>
      <c r="Y66" s="11">
        <v>4000</v>
      </c>
      <c r="Z66" s="10">
        <f t="shared" si="13"/>
        <v>4000</v>
      </c>
      <c r="AA66" s="10">
        <f t="shared" si="0"/>
        <v>-4000</v>
      </c>
      <c r="AB66" s="20"/>
    </row>
    <row r="67" spans="1:28" s="21" customFormat="1" ht="69" customHeight="1" x14ac:dyDescent="0.2">
      <c r="A67" s="7">
        <v>63</v>
      </c>
      <c r="B67" s="24" t="s">
        <v>487</v>
      </c>
      <c r="C67" s="24" t="s">
        <v>488</v>
      </c>
      <c r="D67" s="25">
        <v>45657</v>
      </c>
      <c r="E67" s="6" t="s">
        <v>177</v>
      </c>
      <c r="F67" s="5" t="s">
        <v>489</v>
      </c>
      <c r="G67" s="10">
        <v>336960</v>
      </c>
      <c r="H67" s="10"/>
      <c r="I67" s="10"/>
      <c r="J67" s="10"/>
      <c r="K67" s="10"/>
      <c r="L67" s="10"/>
      <c r="M67" s="11"/>
      <c r="N67" s="11"/>
      <c r="O67" s="11"/>
      <c r="P67" s="11">
        <f>28080+28080+28080+28080+28080+28080+28080+28080+28080</f>
        <v>252720</v>
      </c>
      <c r="Q67" s="10"/>
      <c r="R67" s="10"/>
      <c r="S67" s="10"/>
      <c r="T67" s="11"/>
      <c r="U67" s="10"/>
      <c r="V67" s="10"/>
      <c r="W67" s="10"/>
      <c r="X67" s="10"/>
      <c r="Y67" s="11">
        <f>28080+28080+28080+28080+28080+28080+28080+28080+28080</f>
        <v>252720</v>
      </c>
      <c r="Z67" s="10">
        <f t="shared" si="13"/>
        <v>252720</v>
      </c>
      <c r="AA67" s="10">
        <f t="shared" si="0"/>
        <v>84240</v>
      </c>
      <c r="AB67" s="20"/>
    </row>
    <row r="68" spans="1:28" s="21" customFormat="1" ht="25.5" customHeight="1" x14ac:dyDescent="0.2">
      <c r="A68" s="7">
        <v>64</v>
      </c>
      <c r="B68" s="24" t="s">
        <v>249</v>
      </c>
      <c r="C68" s="24" t="s">
        <v>510</v>
      </c>
      <c r="D68" s="25">
        <v>45291</v>
      </c>
      <c r="E68" s="6" t="s">
        <v>511</v>
      </c>
      <c r="F68" s="5" t="s">
        <v>512</v>
      </c>
      <c r="G68" s="10">
        <v>56000</v>
      </c>
      <c r="H68" s="10"/>
      <c r="I68" s="10"/>
      <c r="J68" s="10"/>
      <c r="K68" s="10"/>
      <c r="L68" s="10"/>
      <c r="M68" s="11"/>
      <c r="N68" s="11"/>
      <c r="O68" s="11"/>
      <c r="P68" s="11">
        <v>56000</v>
      </c>
      <c r="Q68" s="10"/>
      <c r="R68" s="10"/>
      <c r="S68" s="10"/>
      <c r="T68" s="11"/>
      <c r="U68" s="10"/>
      <c r="V68" s="10"/>
      <c r="W68" s="10"/>
      <c r="X68" s="10"/>
      <c r="Y68" s="11">
        <v>56000</v>
      </c>
      <c r="Z68" s="10">
        <f t="shared" si="13"/>
        <v>56000</v>
      </c>
      <c r="AA68" s="10">
        <f t="shared" si="0"/>
        <v>0</v>
      </c>
      <c r="AB68" s="20"/>
    </row>
    <row r="69" spans="1:28" s="21" customFormat="1" ht="17.25" customHeight="1" x14ac:dyDescent="0.2">
      <c r="A69" s="7">
        <v>65</v>
      </c>
      <c r="B69" s="24" t="s">
        <v>513</v>
      </c>
      <c r="C69" s="24" t="s">
        <v>514</v>
      </c>
      <c r="D69" s="25">
        <v>45657</v>
      </c>
      <c r="E69" s="6" t="s">
        <v>515</v>
      </c>
      <c r="F69" s="5" t="s">
        <v>516</v>
      </c>
      <c r="G69" s="10">
        <v>32560.65</v>
      </c>
      <c r="H69" s="10"/>
      <c r="I69" s="10"/>
      <c r="J69" s="10"/>
      <c r="K69" s="10"/>
      <c r="L69" s="10"/>
      <c r="M69" s="11"/>
      <c r="N69" s="11"/>
      <c r="O69" s="11"/>
      <c r="P69" s="11">
        <v>32560.65</v>
      </c>
      <c r="Q69" s="10"/>
      <c r="R69" s="10"/>
      <c r="S69" s="10"/>
      <c r="T69" s="11"/>
      <c r="U69" s="10"/>
      <c r="V69" s="10"/>
      <c r="W69" s="10"/>
      <c r="X69" s="10"/>
      <c r="Y69" s="11">
        <v>32560.65</v>
      </c>
      <c r="Z69" s="10">
        <f t="shared" si="13"/>
        <v>32560.65</v>
      </c>
      <c r="AA69" s="10">
        <f t="shared" si="0"/>
        <v>0</v>
      </c>
      <c r="AB69" s="20"/>
    </row>
    <row r="70" spans="1:28" s="21" customFormat="1" ht="26.25" customHeight="1" x14ac:dyDescent="0.2">
      <c r="A70" s="7">
        <v>66</v>
      </c>
      <c r="B70" s="24" t="s">
        <v>539</v>
      </c>
      <c r="C70" s="24" t="s">
        <v>540</v>
      </c>
      <c r="D70" s="25">
        <v>45657</v>
      </c>
      <c r="E70" s="6" t="s">
        <v>542</v>
      </c>
      <c r="F70" s="5" t="s">
        <v>541</v>
      </c>
      <c r="G70" s="10">
        <v>2600000</v>
      </c>
      <c r="H70" s="10"/>
      <c r="I70" s="10"/>
      <c r="J70" s="10">
        <f>60811.41+68053.78</f>
        <v>128865.19</v>
      </c>
      <c r="K70" s="10"/>
      <c r="L70" s="10"/>
      <c r="M70" s="11"/>
      <c r="N70" s="11"/>
      <c r="O70" s="11"/>
      <c r="P70" s="11">
        <f>66498.32+78866.16+85732.26+76361.79+70275.75+61988.65+62895+76302.89+77178.4+76611.26+73932.1+74783.95+69140.21+57699.8+83144.87+69198.91+73503.97+61905.25+82314.34+78786.82+71050.88+63668.87+69471.62+75512.91+58372.02</f>
        <v>1795197.0000000002</v>
      </c>
      <c r="Q70" s="10"/>
      <c r="R70" s="10"/>
      <c r="S70" s="10">
        <f>60811.41+68053.78</f>
        <v>128865.19</v>
      </c>
      <c r="T70" s="11"/>
      <c r="U70" s="10"/>
      <c r="V70" s="10"/>
      <c r="W70" s="10"/>
      <c r="X70" s="10"/>
      <c r="Y70" s="11">
        <f>66498.32+78866.16+85732.26+76361.79+70275.75+61988.65+62895+76302.89+77178.4+76611.26+73932.1+74783.95+69140.21+57699.8+83144.87+69198.91+73503.97+61905.25+82314.34+78786.82+71050.88+63668.87+69471.62+75512.91+58372.02</f>
        <v>1795197.0000000002</v>
      </c>
      <c r="Z70" s="10">
        <f t="shared" ref="Z70" si="14">SUM(Q70:Y70)</f>
        <v>1924062.1900000002</v>
      </c>
      <c r="AA70" s="10">
        <f t="shared" si="0"/>
        <v>675937.80999999982</v>
      </c>
      <c r="AB70" s="20"/>
    </row>
    <row r="71" spans="1:28" s="21" customFormat="1" ht="54.75" customHeight="1" x14ac:dyDescent="0.2">
      <c r="A71" s="7">
        <v>67</v>
      </c>
      <c r="B71" s="24" t="s">
        <v>557</v>
      </c>
      <c r="C71" s="24" t="s">
        <v>396</v>
      </c>
      <c r="D71" s="25">
        <v>45291</v>
      </c>
      <c r="E71" s="6" t="s">
        <v>558</v>
      </c>
      <c r="F71" s="5" t="s">
        <v>560</v>
      </c>
      <c r="G71" s="10">
        <v>37380</v>
      </c>
      <c r="H71" s="10"/>
      <c r="I71" s="10"/>
      <c r="J71" s="10"/>
      <c r="K71" s="10"/>
      <c r="L71" s="10"/>
      <c r="M71" s="11"/>
      <c r="N71" s="11"/>
      <c r="O71" s="11"/>
      <c r="P71" s="11">
        <v>37380</v>
      </c>
      <c r="Q71" s="10"/>
      <c r="R71" s="10"/>
      <c r="S71" s="10"/>
      <c r="T71" s="11"/>
      <c r="U71" s="10"/>
      <c r="V71" s="10"/>
      <c r="W71" s="10"/>
      <c r="X71" s="10"/>
      <c r="Y71" s="11">
        <v>37380</v>
      </c>
      <c r="Z71" s="10">
        <f t="shared" ref="Z71:Z73" si="15">SUM(Q71:Y71)</f>
        <v>37380</v>
      </c>
      <c r="AA71" s="10">
        <f t="shared" si="0"/>
        <v>0</v>
      </c>
      <c r="AB71" s="20"/>
    </row>
    <row r="72" spans="1:28" s="21" customFormat="1" ht="16.5" customHeight="1" x14ac:dyDescent="0.2">
      <c r="A72" s="7">
        <v>68</v>
      </c>
      <c r="B72" s="24" t="s">
        <v>559</v>
      </c>
      <c r="C72" s="24" t="s">
        <v>493</v>
      </c>
      <c r="D72" s="25">
        <v>45657</v>
      </c>
      <c r="E72" s="6" t="s">
        <v>323</v>
      </c>
      <c r="F72" s="5" t="s">
        <v>561</v>
      </c>
      <c r="G72" s="10">
        <v>80000</v>
      </c>
      <c r="H72" s="10"/>
      <c r="I72" s="10">
        <f>16000+16000</f>
        <v>32000</v>
      </c>
      <c r="J72" s="10"/>
      <c r="K72" s="10"/>
      <c r="L72" s="10"/>
      <c r="M72" s="11"/>
      <c r="N72" s="11"/>
      <c r="O72" s="11"/>
      <c r="P72" s="11">
        <f>16000+16000</f>
        <v>32000</v>
      </c>
      <c r="Q72" s="10"/>
      <c r="R72" s="10">
        <f>16000+16000</f>
        <v>32000</v>
      </c>
      <c r="S72" s="10"/>
      <c r="T72" s="11"/>
      <c r="U72" s="10"/>
      <c r="V72" s="10"/>
      <c r="W72" s="10"/>
      <c r="X72" s="10"/>
      <c r="Y72" s="11">
        <f>16000+16000</f>
        <v>32000</v>
      </c>
      <c r="Z72" s="10">
        <f t="shared" si="15"/>
        <v>64000</v>
      </c>
      <c r="AA72" s="10">
        <f t="shared" si="0"/>
        <v>16000</v>
      </c>
      <c r="AB72" s="20"/>
    </row>
    <row r="73" spans="1:28" s="21" customFormat="1" ht="16.5" customHeight="1" x14ac:dyDescent="0.2">
      <c r="A73" s="7">
        <v>69</v>
      </c>
      <c r="B73" s="24" t="s">
        <v>562</v>
      </c>
      <c r="C73" s="24" t="s">
        <v>471</v>
      </c>
      <c r="D73" s="25">
        <v>45657</v>
      </c>
      <c r="E73" s="6" t="s">
        <v>563</v>
      </c>
      <c r="F73" s="5" t="s">
        <v>564</v>
      </c>
      <c r="G73" s="10">
        <v>53084</v>
      </c>
      <c r="H73" s="10"/>
      <c r="I73" s="10"/>
      <c r="J73" s="10"/>
      <c r="K73" s="10"/>
      <c r="L73" s="10"/>
      <c r="M73" s="11"/>
      <c r="N73" s="11"/>
      <c r="O73" s="11"/>
      <c r="P73" s="11">
        <v>53084</v>
      </c>
      <c r="Q73" s="10"/>
      <c r="R73" s="10"/>
      <c r="S73" s="10"/>
      <c r="T73" s="11"/>
      <c r="U73" s="10"/>
      <c r="V73" s="10"/>
      <c r="W73" s="10"/>
      <c r="X73" s="10"/>
      <c r="Y73" s="11">
        <v>53084</v>
      </c>
      <c r="Z73" s="10">
        <f t="shared" si="15"/>
        <v>53084</v>
      </c>
      <c r="AA73" s="10">
        <f t="shared" si="0"/>
        <v>0</v>
      </c>
      <c r="AB73" s="20"/>
    </row>
    <row r="74" spans="1:28" s="21" customFormat="1" ht="25.5" customHeight="1" x14ac:dyDescent="0.2">
      <c r="A74" s="7">
        <v>70</v>
      </c>
      <c r="B74" s="24" t="s">
        <v>575</v>
      </c>
      <c r="C74" s="24" t="s">
        <v>576</v>
      </c>
      <c r="D74" s="25">
        <v>45291</v>
      </c>
      <c r="E74" s="41" t="s">
        <v>388</v>
      </c>
      <c r="F74" s="5" t="s">
        <v>389</v>
      </c>
      <c r="G74" s="16"/>
      <c r="H74" s="10"/>
      <c r="I74" s="10"/>
      <c r="J74" s="10"/>
      <c r="K74" s="10"/>
      <c r="L74" s="10"/>
      <c r="M74" s="11"/>
      <c r="N74" s="11"/>
      <c r="O74" s="11"/>
      <c r="P74" s="11">
        <f>8620.11+19789.83+20315.94+9672.33</f>
        <v>58398.210000000006</v>
      </c>
      <c r="Q74" s="10"/>
      <c r="R74" s="10"/>
      <c r="S74" s="10"/>
      <c r="T74" s="11"/>
      <c r="U74" s="10"/>
      <c r="V74" s="10"/>
      <c r="W74" s="10"/>
      <c r="X74" s="10"/>
      <c r="Y74" s="11">
        <f>8620.11+19789.83+20315.94+9672.33</f>
        <v>58398.210000000006</v>
      </c>
      <c r="Z74" s="10">
        <f t="shared" ref="Z74" si="16">SUM(Q74:Y74)</f>
        <v>58398.210000000006</v>
      </c>
      <c r="AA74" s="10">
        <f t="shared" si="0"/>
        <v>-58398.210000000006</v>
      </c>
      <c r="AB74" s="20"/>
    </row>
    <row r="75" spans="1:28" s="21" customFormat="1" ht="25.5" customHeight="1" x14ac:dyDescent="0.2">
      <c r="A75" s="7">
        <v>71</v>
      </c>
      <c r="B75" s="24" t="s">
        <v>577</v>
      </c>
      <c r="C75" s="24" t="s">
        <v>578</v>
      </c>
      <c r="D75" s="25">
        <v>45291</v>
      </c>
      <c r="E75" s="41" t="s">
        <v>388</v>
      </c>
      <c r="F75" s="5" t="s">
        <v>389</v>
      </c>
      <c r="G75" s="16"/>
      <c r="H75" s="10"/>
      <c r="I75" s="10"/>
      <c r="J75" s="10"/>
      <c r="K75" s="10"/>
      <c r="L75" s="10"/>
      <c r="M75" s="11"/>
      <c r="N75" s="11"/>
      <c r="O75" s="11"/>
      <c r="P75" s="11">
        <v>13900</v>
      </c>
      <c r="Q75" s="10"/>
      <c r="R75" s="10"/>
      <c r="S75" s="10"/>
      <c r="T75" s="11"/>
      <c r="U75" s="10"/>
      <c r="V75" s="10"/>
      <c r="W75" s="10"/>
      <c r="X75" s="10"/>
      <c r="Y75" s="11">
        <v>13900</v>
      </c>
      <c r="Z75" s="10">
        <f t="shared" ref="Z75" si="17">SUM(Q75:Y75)</f>
        <v>13900</v>
      </c>
      <c r="AA75" s="10">
        <f t="shared" si="0"/>
        <v>-13900</v>
      </c>
      <c r="AB75" s="20"/>
    </row>
    <row r="76" spans="1:28" s="21" customFormat="1" ht="19.5" customHeight="1" x14ac:dyDescent="0.2">
      <c r="A76" s="7">
        <v>72</v>
      </c>
      <c r="B76" s="24" t="s">
        <v>586</v>
      </c>
      <c r="C76" s="24" t="s">
        <v>587</v>
      </c>
      <c r="D76" s="25">
        <v>45291</v>
      </c>
      <c r="E76" s="6" t="s">
        <v>588</v>
      </c>
      <c r="F76" s="5" t="s">
        <v>589</v>
      </c>
      <c r="G76" s="16"/>
      <c r="H76" s="10"/>
      <c r="I76" s="10"/>
      <c r="J76" s="10"/>
      <c r="K76" s="10"/>
      <c r="L76" s="10"/>
      <c r="M76" s="11"/>
      <c r="N76" s="11"/>
      <c r="O76" s="11"/>
      <c r="P76" s="11">
        <f>80000+80000</f>
        <v>160000</v>
      </c>
      <c r="Q76" s="10"/>
      <c r="R76" s="10"/>
      <c r="S76" s="10"/>
      <c r="T76" s="11"/>
      <c r="U76" s="10"/>
      <c r="V76" s="10"/>
      <c r="W76" s="10"/>
      <c r="X76" s="10"/>
      <c r="Y76" s="11">
        <f>80000+80000</f>
        <v>160000</v>
      </c>
      <c r="Z76" s="10">
        <f t="shared" ref="Z76" si="18">SUM(Q76:Y76)</f>
        <v>160000</v>
      </c>
      <c r="AA76" s="10">
        <f t="shared" si="0"/>
        <v>-160000</v>
      </c>
      <c r="AB76" s="20"/>
    </row>
    <row r="77" spans="1:28" s="21" customFormat="1" ht="39" customHeight="1" x14ac:dyDescent="0.2">
      <c r="A77" s="7">
        <v>73</v>
      </c>
      <c r="B77" s="24" t="s">
        <v>590</v>
      </c>
      <c r="C77" s="24" t="s">
        <v>591</v>
      </c>
      <c r="D77" s="25">
        <v>45657</v>
      </c>
      <c r="E77" s="6" t="s">
        <v>468</v>
      </c>
      <c r="F77" s="5" t="s">
        <v>592</v>
      </c>
      <c r="G77" s="27">
        <v>97660</v>
      </c>
      <c r="H77" s="10"/>
      <c r="I77" s="10"/>
      <c r="J77" s="10"/>
      <c r="K77" s="10"/>
      <c r="L77" s="10"/>
      <c r="M77" s="11"/>
      <c r="N77" s="11"/>
      <c r="O77" s="11"/>
      <c r="P77" s="11">
        <f>8138+8138+8138+8138+8138+8138+8138</f>
        <v>56966</v>
      </c>
      <c r="Q77" s="10"/>
      <c r="R77" s="10"/>
      <c r="S77" s="10"/>
      <c r="T77" s="11"/>
      <c r="U77" s="10"/>
      <c r="V77" s="10"/>
      <c r="W77" s="10"/>
      <c r="X77" s="10"/>
      <c r="Y77" s="11">
        <f>8138+8138+8138+8138+8138+8138+8138</f>
        <v>56966</v>
      </c>
      <c r="Z77" s="10">
        <f t="shared" ref="Z77" si="19">SUM(Q77:Y77)</f>
        <v>56966</v>
      </c>
      <c r="AA77" s="10">
        <f t="shared" si="0"/>
        <v>40694</v>
      </c>
      <c r="AB77" s="20"/>
    </row>
    <row r="78" spans="1:28" s="21" customFormat="1" ht="26.25" customHeight="1" x14ac:dyDescent="0.2">
      <c r="A78" s="7">
        <v>74</v>
      </c>
      <c r="B78" s="24" t="s">
        <v>306</v>
      </c>
      <c r="C78" s="24" t="s">
        <v>97</v>
      </c>
      <c r="D78" s="25">
        <v>45657</v>
      </c>
      <c r="E78" s="6" t="s">
        <v>593</v>
      </c>
      <c r="F78" s="5" t="s">
        <v>150</v>
      </c>
      <c r="G78" s="27">
        <v>5400000</v>
      </c>
      <c r="H78" s="10"/>
      <c r="I78" s="10"/>
      <c r="J78" s="10"/>
      <c r="K78" s="10"/>
      <c r="L78" s="10"/>
      <c r="M78" s="11"/>
      <c r="N78" s="11"/>
      <c r="O78" s="11"/>
      <c r="P78" s="11">
        <f>232800+85200+122400+45600+48000+130800+62400+68400+45600+122400+54000+45600+76800+108000+91200+91200+114000+99600+140400+45600+136800+54000+54000+48000+54000+62400+128400+54000+62400</f>
        <v>2484000</v>
      </c>
      <c r="Q78" s="10"/>
      <c r="R78" s="10"/>
      <c r="S78" s="10"/>
      <c r="T78" s="11"/>
      <c r="U78" s="10"/>
      <c r="V78" s="10"/>
      <c r="W78" s="10"/>
      <c r="X78" s="10"/>
      <c r="Y78" s="11">
        <f>232800+85200+122400+45600+48000+130800+62400+68400+45600+122400+54000+45600+76800+108000+91200+91200+114000+99600+140400+45600+136800+54000+54000+48000+54000+62400+128400+54000+62400</f>
        <v>2484000</v>
      </c>
      <c r="Z78" s="10">
        <f t="shared" ref="Z78" si="20">SUM(Q78:Y78)</f>
        <v>2484000</v>
      </c>
      <c r="AA78" s="10">
        <f t="shared" si="0"/>
        <v>2916000</v>
      </c>
      <c r="AB78" s="20"/>
    </row>
    <row r="79" spans="1:28" s="21" customFormat="1" ht="119.25" customHeight="1" x14ac:dyDescent="0.2">
      <c r="A79" s="7">
        <v>75</v>
      </c>
      <c r="B79" s="24" t="s">
        <v>599</v>
      </c>
      <c r="C79" s="24" t="s">
        <v>600</v>
      </c>
      <c r="D79" s="25">
        <v>45657</v>
      </c>
      <c r="E79" s="6" t="s">
        <v>601</v>
      </c>
      <c r="F79" s="5" t="s">
        <v>612</v>
      </c>
      <c r="G79" s="27">
        <v>199550.5</v>
      </c>
      <c r="H79" s="10"/>
      <c r="I79" s="10"/>
      <c r="J79" s="10"/>
      <c r="K79" s="10"/>
      <c r="L79" s="10"/>
      <c r="M79" s="11">
        <v>199550.5</v>
      </c>
      <c r="N79" s="11"/>
      <c r="O79" s="11"/>
      <c r="P79" s="11"/>
      <c r="Q79" s="10"/>
      <c r="R79" s="10"/>
      <c r="S79" s="10"/>
      <c r="T79" s="11"/>
      <c r="U79" s="10"/>
      <c r="V79" s="10">
        <v>199550.5</v>
      </c>
      <c r="W79" s="10"/>
      <c r="X79" s="10"/>
      <c r="Y79" s="11"/>
      <c r="Z79" s="10">
        <f t="shared" ref="Z79:Z84" si="21">SUM(Q79:Y79)</f>
        <v>199550.5</v>
      </c>
      <c r="AA79" s="10">
        <f t="shared" si="0"/>
        <v>0</v>
      </c>
      <c r="AB79" s="20"/>
    </row>
    <row r="80" spans="1:28" s="21" customFormat="1" ht="78.75" customHeight="1" x14ac:dyDescent="0.2">
      <c r="A80" s="7">
        <v>76</v>
      </c>
      <c r="B80" s="24" t="s">
        <v>123</v>
      </c>
      <c r="C80" s="24" t="s">
        <v>609</v>
      </c>
      <c r="D80" s="25">
        <v>45657</v>
      </c>
      <c r="E80" s="6" t="s">
        <v>610</v>
      </c>
      <c r="F80" s="5" t="s">
        <v>611</v>
      </c>
      <c r="G80" s="27">
        <v>1000</v>
      </c>
      <c r="H80" s="10"/>
      <c r="I80" s="10"/>
      <c r="J80" s="10"/>
      <c r="K80" s="10"/>
      <c r="L80" s="10"/>
      <c r="M80" s="11"/>
      <c r="N80" s="11"/>
      <c r="O80" s="11"/>
      <c r="P80" s="11">
        <f>250+250+250</f>
        <v>750</v>
      </c>
      <c r="Q80" s="10"/>
      <c r="R80" s="10"/>
      <c r="S80" s="10"/>
      <c r="T80" s="11"/>
      <c r="U80" s="10"/>
      <c r="V80" s="10"/>
      <c r="W80" s="10"/>
      <c r="X80" s="10"/>
      <c r="Y80" s="11">
        <f>250+250+250</f>
        <v>750</v>
      </c>
      <c r="Z80" s="10">
        <f t="shared" si="21"/>
        <v>750</v>
      </c>
      <c r="AA80" s="10">
        <f t="shared" si="0"/>
        <v>250</v>
      </c>
      <c r="AB80" s="20"/>
    </row>
    <row r="81" spans="1:28" s="21" customFormat="1" ht="25.5" customHeight="1" x14ac:dyDescent="0.2">
      <c r="A81" s="7">
        <v>77</v>
      </c>
      <c r="B81" s="24" t="s">
        <v>615</v>
      </c>
      <c r="C81" s="24" t="s">
        <v>254</v>
      </c>
      <c r="D81" s="25">
        <v>45657</v>
      </c>
      <c r="E81" s="6" t="s">
        <v>616</v>
      </c>
      <c r="F81" s="5" t="s">
        <v>617</v>
      </c>
      <c r="G81" s="27">
        <v>179632.2</v>
      </c>
      <c r="H81" s="10"/>
      <c r="I81" s="10"/>
      <c r="J81" s="10"/>
      <c r="K81" s="10"/>
      <c r="L81" s="10"/>
      <c r="M81" s="11"/>
      <c r="N81" s="11"/>
      <c r="O81" s="11"/>
      <c r="P81" s="11">
        <f>32089.2+25806</f>
        <v>57895.199999999997</v>
      </c>
      <c r="Q81" s="10"/>
      <c r="R81" s="10"/>
      <c r="S81" s="10"/>
      <c r="T81" s="11"/>
      <c r="U81" s="10"/>
      <c r="V81" s="10"/>
      <c r="W81" s="10"/>
      <c r="X81" s="10"/>
      <c r="Y81" s="11">
        <f>32089.2+25806</f>
        <v>57895.199999999997</v>
      </c>
      <c r="Z81" s="10">
        <f t="shared" si="21"/>
        <v>57895.199999999997</v>
      </c>
      <c r="AA81" s="10">
        <f t="shared" si="0"/>
        <v>121737.00000000001</v>
      </c>
      <c r="AB81" s="20"/>
    </row>
    <row r="82" spans="1:28" s="21" customFormat="1" ht="25.5" customHeight="1" x14ac:dyDescent="0.2">
      <c r="A82" s="7">
        <v>78</v>
      </c>
      <c r="B82" s="24" t="s">
        <v>660</v>
      </c>
      <c r="C82" s="24" t="s">
        <v>661</v>
      </c>
      <c r="D82" s="25">
        <v>45657</v>
      </c>
      <c r="E82" s="6" t="s">
        <v>23</v>
      </c>
      <c r="F82" s="5" t="s">
        <v>662</v>
      </c>
      <c r="G82" s="27">
        <v>6384</v>
      </c>
      <c r="H82" s="10"/>
      <c r="I82" s="27">
        <v>6384</v>
      </c>
      <c r="J82" s="27"/>
      <c r="K82" s="10"/>
      <c r="L82" s="10"/>
      <c r="M82" s="11"/>
      <c r="N82" s="11"/>
      <c r="O82" s="11"/>
      <c r="P82" s="11"/>
      <c r="Q82" s="10"/>
      <c r="R82" s="27">
        <v>6384</v>
      </c>
      <c r="S82" s="27"/>
      <c r="T82" s="11"/>
      <c r="U82" s="10"/>
      <c r="V82" s="10"/>
      <c r="W82" s="10"/>
      <c r="X82" s="10"/>
      <c r="Y82" s="11"/>
      <c r="Z82" s="10">
        <f t="shared" si="21"/>
        <v>6384</v>
      </c>
      <c r="AA82" s="10">
        <f t="shared" si="0"/>
        <v>0</v>
      </c>
      <c r="AB82" s="20"/>
    </row>
    <row r="83" spans="1:28" s="21" customFormat="1" ht="25.5" customHeight="1" x14ac:dyDescent="0.2">
      <c r="A83" s="7">
        <v>79</v>
      </c>
      <c r="B83" s="24" t="s">
        <v>720</v>
      </c>
      <c r="C83" s="24" t="s">
        <v>724</v>
      </c>
      <c r="D83" s="25">
        <v>45657</v>
      </c>
      <c r="E83" s="6" t="s">
        <v>721</v>
      </c>
      <c r="F83" s="5" t="s">
        <v>725</v>
      </c>
      <c r="G83" s="27">
        <v>840</v>
      </c>
      <c r="H83" s="10"/>
      <c r="I83" s="27">
        <v>840</v>
      </c>
      <c r="J83" s="27"/>
      <c r="K83" s="10"/>
      <c r="L83" s="10"/>
      <c r="M83" s="11"/>
      <c r="N83" s="11"/>
      <c r="O83" s="11"/>
      <c r="P83" s="11"/>
      <c r="Q83" s="10"/>
      <c r="R83" s="27">
        <v>840</v>
      </c>
      <c r="S83" s="27"/>
      <c r="T83" s="11"/>
      <c r="U83" s="10"/>
      <c r="V83" s="10"/>
      <c r="W83" s="10"/>
      <c r="X83" s="10"/>
      <c r="Y83" s="11"/>
      <c r="Z83" s="10">
        <f t="shared" si="21"/>
        <v>840</v>
      </c>
      <c r="AA83" s="10">
        <f t="shared" si="0"/>
        <v>0</v>
      </c>
      <c r="AB83" s="20"/>
    </row>
    <row r="84" spans="1:28" s="21" customFormat="1" ht="17.25" customHeight="1" x14ac:dyDescent="0.2">
      <c r="A84" s="7">
        <v>80</v>
      </c>
      <c r="B84" s="24" t="s">
        <v>410</v>
      </c>
      <c r="C84" s="24" t="s">
        <v>744</v>
      </c>
      <c r="D84" s="24" t="s">
        <v>42</v>
      </c>
      <c r="E84" s="6" t="s">
        <v>199</v>
      </c>
      <c r="F84" s="5" t="s">
        <v>745</v>
      </c>
      <c r="G84" s="27">
        <v>99900</v>
      </c>
      <c r="H84" s="10"/>
      <c r="I84" s="27"/>
      <c r="J84" s="27"/>
      <c r="K84" s="10"/>
      <c r="L84" s="10"/>
      <c r="M84" s="11"/>
      <c r="N84" s="11"/>
      <c r="O84" s="11"/>
      <c r="P84" s="11">
        <f>60991+38909</f>
        <v>99900</v>
      </c>
      <c r="Q84" s="10"/>
      <c r="R84" s="27"/>
      <c r="S84" s="27"/>
      <c r="T84" s="11"/>
      <c r="U84" s="10"/>
      <c r="V84" s="10"/>
      <c r="W84" s="10"/>
      <c r="X84" s="10"/>
      <c r="Y84" s="11">
        <f>60991+38909</f>
        <v>99900</v>
      </c>
      <c r="Z84" s="10">
        <f t="shared" si="21"/>
        <v>99900</v>
      </c>
      <c r="AA84" s="10">
        <f t="shared" si="0"/>
        <v>0</v>
      </c>
      <c r="AB84" s="20"/>
    </row>
    <row r="85" spans="1:28" s="21" customFormat="1" ht="52.5" customHeight="1" x14ac:dyDescent="0.2">
      <c r="A85" s="7">
        <v>81</v>
      </c>
      <c r="B85" s="24" t="s">
        <v>766</v>
      </c>
      <c r="C85" s="24" t="s">
        <v>767</v>
      </c>
      <c r="D85" s="24" t="s">
        <v>42</v>
      </c>
      <c r="E85" s="6" t="s">
        <v>768</v>
      </c>
      <c r="F85" s="5" t="s">
        <v>769</v>
      </c>
      <c r="G85" s="27">
        <v>71280</v>
      </c>
      <c r="H85" s="10"/>
      <c r="I85" s="27"/>
      <c r="J85" s="27"/>
      <c r="K85" s="10"/>
      <c r="L85" s="10"/>
      <c r="M85" s="11"/>
      <c r="N85" s="11"/>
      <c r="O85" s="11"/>
      <c r="P85" s="27">
        <v>71280</v>
      </c>
      <c r="Q85" s="10"/>
      <c r="R85" s="27"/>
      <c r="S85" s="27"/>
      <c r="T85" s="11"/>
      <c r="U85" s="10"/>
      <c r="V85" s="10"/>
      <c r="W85" s="10"/>
      <c r="X85" s="10"/>
      <c r="Y85" s="27">
        <v>71280</v>
      </c>
      <c r="Z85" s="10">
        <f t="shared" ref="Z85" si="22">SUM(Q85:Y85)</f>
        <v>71280</v>
      </c>
      <c r="AA85" s="10">
        <f t="shared" ref="AA85" si="23">G85-Z85</f>
        <v>0</v>
      </c>
      <c r="AB85" s="20"/>
    </row>
    <row r="86" spans="1:28" s="21" customFormat="1" ht="15.75" customHeight="1" x14ac:dyDescent="0.2">
      <c r="A86" s="7">
        <v>82</v>
      </c>
      <c r="B86" s="22" t="s">
        <v>293</v>
      </c>
      <c r="C86" s="22" t="s">
        <v>774</v>
      </c>
      <c r="D86" s="48"/>
      <c r="E86" s="6" t="s">
        <v>772</v>
      </c>
      <c r="F86" s="5" t="s">
        <v>773</v>
      </c>
      <c r="G86" s="26"/>
      <c r="H86" s="10"/>
      <c r="I86" s="27"/>
      <c r="J86" s="27"/>
      <c r="K86" s="10"/>
      <c r="L86" s="10"/>
      <c r="M86" s="11"/>
      <c r="N86" s="11"/>
      <c r="O86" s="11"/>
      <c r="P86" s="27">
        <f>19260</f>
        <v>19260</v>
      </c>
      <c r="Q86" s="10"/>
      <c r="R86" s="27"/>
      <c r="S86" s="27"/>
      <c r="T86" s="11"/>
      <c r="U86" s="10"/>
      <c r="V86" s="10"/>
      <c r="W86" s="10"/>
      <c r="X86" s="10"/>
      <c r="Y86" s="27">
        <f>19260</f>
        <v>19260</v>
      </c>
      <c r="Z86" s="10">
        <f t="shared" ref="Z86" si="24">SUM(Q86:Y86)</f>
        <v>19260</v>
      </c>
      <c r="AA86" s="10">
        <f t="shared" ref="AA86" si="25">G86-Z86</f>
        <v>-19260</v>
      </c>
      <c r="AB86" s="20"/>
    </row>
    <row r="87" spans="1:28" s="21" customFormat="1" ht="15.75" customHeight="1" x14ac:dyDescent="0.2">
      <c r="A87" s="7">
        <v>83</v>
      </c>
      <c r="B87" s="24" t="s">
        <v>771</v>
      </c>
      <c r="C87" s="24" t="s">
        <v>770</v>
      </c>
      <c r="D87" s="24" t="s">
        <v>42</v>
      </c>
      <c r="E87" s="6" t="s">
        <v>772</v>
      </c>
      <c r="F87" s="5" t="s">
        <v>773</v>
      </c>
      <c r="G87" s="27">
        <v>641815</v>
      </c>
      <c r="H87" s="10"/>
      <c r="I87" s="27"/>
      <c r="J87" s="27"/>
      <c r="K87" s="10"/>
      <c r="L87" s="10"/>
      <c r="M87" s="11"/>
      <c r="N87" s="11"/>
      <c r="O87" s="11"/>
      <c r="P87" s="27">
        <f>18330+26950+23100+30800+38960+28200+15900+24530+15050+16050+38100+31600+20600</f>
        <v>328170</v>
      </c>
      <c r="Q87" s="10"/>
      <c r="R87" s="27"/>
      <c r="S87" s="27"/>
      <c r="T87" s="11"/>
      <c r="U87" s="10"/>
      <c r="V87" s="10"/>
      <c r="W87" s="10"/>
      <c r="X87" s="10"/>
      <c r="Y87" s="27">
        <f>18330+26950+23100+30800+38960+28200+15900+24530+15050+16050+38100+31600+20600</f>
        <v>328170</v>
      </c>
      <c r="Z87" s="10">
        <f t="shared" ref="Z87" si="26">SUM(Q87:Y87)</f>
        <v>328170</v>
      </c>
      <c r="AA87" s="10">
        <f t="shared" ref="AA87" si="27">G87-Z87</f>
        <v>313645</v>
      </c>
      <c r="AB87" s="20"/>
    </row>
    <row r="88" spans="1:28" s="21" customFormat="1" ht="15.75" customHeight="1" x14ac:dyDescent="0.2">
      <c r="A88" s="7">
        <v>84</v>
      </c>
      <c r="B88" s="24" t="s">
        <v>789</v>
      </c>
      <c r="C88" s="24" t="s">
        <v>724</v>
      </c>
      <c r="D88" s="24" t="s">
        <v>42</v>
      </c>
      <c r="E88" s="6" t="s">
        <v>468</v>
      </c>
      <c r="F88" s="5" t="s">
        <v>469</v>
      </c>
      <c r="G88" s="27">
        <v>19691</v>
      </c>
      <c r="H88" s="10"/>
      <c r="I88" s="27"/>
      <c r="J88" s="27"/>
      <c r="K88" s="10"/>
      <c r="L88" s="10"/>
      <c r="M88" s="11"/>
      <c r="N88" s="11"/>
      <c r="O88" s="11"/>
      <c r="P88" s="27">
        <v>19691</v>
      </c>
      <c r="Q88" s="10"/>
      <c r="R88" s="27"/>
      <c r="S88" s="27"/>
      <c r="T88" s="11"/>
      <c r="U88" s="10"/>
      <c r="V88" s="10"/>
      <c r="W88" s="10"/>
      <c r="X88" s="10"/>
      <c r="Y88" s="27">
        <v>19691</v>
      </c>
      <c r="Z88" s="10">
        <f t="shared" ref="Z88" si="28">SUM(Q88:Y88)</f>
        <v>19691</v>
      </c>
      <c r="AA88" s="10">
        <f t="shared" ref="AA88" si="29">G88-Z88</f>
        <v>0</v>
      </c>
      <c r="AB88" s="20"/>
    </row>
    <row r="89" spans="1:28" s="21" customFormat="1" ht="15.75" customHeight="1" x14ac:dyDescent="0.2">
      <c r="A89" s="7">
        <v>85</v>
      </c>
      <c r="B89" s="24" t="s">
        <v>796</v>
      </c>
      <c r="C89" s="24" t="s">
        <v>749</v>
      </c>
      <c r="D89" s="24" t="s">
        <v>42</v>
      </c>
      <c r="E89" s="6" t="s">
        <v>468</v>
      </c>
      <c r="F89" s="5" t="s">
        <v>469</v>
      </c>
      <c r="G89" s="27">
        <v>29705</v>
      </c>
      <c r="H89" s="10"/>
      <c r="I89" s="27"/>
      <c r="J89" s="27"/>
      <c r="K89" s="10"/>
      <c r="L89" s="10"/>
      <c r="M89" s="11"/>
      <c r="N89" s="11"/>
      <c r="O89" s="11"/>
      <c r="P89" s="27">
        <v>29705</v>
      </c>
      <c r="Q89" s="10"/>
      <c r="R89" s="27"/>
      <c r="S89" s="27"/>
      <c r="T89" s="11"/>
      <c r="U89" s="10"/>
      <c r="V89" s="10"/>
      <c r="W89" s="10"/>
      <c r="X89" s="10"/>
      <c r="Y89" s="27">
        <v>29705</v>
      </c>
      <c r="Z89" s="10">
        <f t="shared" ref="Z89" si="30">SUM(Q89:Y89)</f>
        <v>29705</v>
      </c>
      <c r="AA89" s="10">
        <f t="shared" ref="AA89" si="31">G89-Z89</f>
        <v>0</v>
      </c>
      <c r="AB89" s="20"/>
    </row>
    <row r="90" spans="1:28" s="21" customFormat="1" ht="25.5" customHeight="1" x14ac:dyDescent="0.2">
      <c r="A90" s="7">
        <v>86</v>
      </c>
      <c r="B90" s="24" t="s">
        <v>800</v>
      </c>
      <c r="C90" s="24" t="s">
        <v>801</v>
      </c>
      <c r="D90" s="24" t="s">
        <v>42</v>
      </c>
      <c r="E90" s="6" t="s">
        <v>101</v>
      </c>
      <c r="F90" s="5" t="s">
        <v>802</v>
      </c>
      <c r="G90" s="27">
        <v>6050</v>
      </c>
      <c r="H90" s="10"/>
      <c r="I90" s="27"/>
      <c r="J90" s="27"/>
      <c r="K90" s="10"/>
      <c r="L90" s="10"/>
      <c r="M90" s="11"/>
      <c r="N90" s="11"/>
      <c r="O90" s="11"/>
      <c r="P90" s="27">
        <v>6050</v>
      </c>
      <c r="Q90" s="10"/>
      <c r="R90" s="27"/>
      <c r="S90" s="27"/>
      <c r="T90" s="11"/>
      <c r="U90" s="10"/>
      <c r="V90" s="10"/>
      <c r="W90" s="10"/>
      <c r="X90" s="10"/>
      <c r="Y90" s="27">
        <v>6050</v>
      </c>
      <c r="Z90" s="10">
        <f t="shared" ref="Z90" si="32">SUM(Q90:Y90)</f>
        <v>6050</v>
      </c>
      <c r="AA90" s="10">
        <f t="shared" ref="AA90" si="33">G90-Z90</f>
        <v>0</v>
      </c>
      <c r="AB90" s="20"/>
    </row>
    <row r="91" spans="1:28" s="21" customFormat="1" ht="25.5" customHeight="1" x14ac:dyDescent="0.2">
      <c r="A91" s="7">
        <v>87</v>
      </c>
      <c r="B91" s="24" t="s">
        <v>806</v>
      </c>
      <c r="C91" s="24" t="s">
        <v>724</v>
      </c>
      <c r="D91" s="24" t="s">
        <v>42</v>
      </c>
      <c r="E91" s="6" t="s">
        <v>468</v>
      </c>
      <c r="F91" s="5" t="s">
        <v>469</v>
      </c>
      <c r="G91" s="27">
        <v>22842</v>
      </c>
      <c r="H91" s="10"/>
      <c r="I91" s="27"/>
      <c r="J91" s="27"/>
      <c r="K91" s="10"/>
      <c r="L91" s="10"/>
      <c r="M91" s="11"/>
      <c r="N91" s="11"/>
      <c r="O91" s="11"/>
      <c r="P91" s="27">
        <v>22842</v>
      </c>
      <c r="Q91" s="10"/>
      <c r="R91" s="27"/>
      <c r="S91" s="27"/>
      <c r="T91" s="11"/>
      <c r="U91" s="10"/>
      <c r="V91" s="10"/>
      <c r="W91" s="10"/>
      <c r="X91" s="10"/>
      <c r="Y91" s="27">
        <v>22842</v>
      </c>
      <c r="Z91" s="10">
        <f t="shared" ref="Z91" si="34">SUM(Q91:Y91)</f>
        <v>22842</v>
      </c>
      <c r="AA91" s="10">
        <f t="shared" ref="AA91" si="35">G91-Z91</f>
        <v>0</v>
      </c>
      <c r="AB91" s="20"/>
    </row>
    <row r="92" spans="1:28" s="21" customFormat="1" ht="25.5" customHeight="1" x14ac:dyDescent="0.2">
      <c r="A92" s="7">
        <v>88</v>
      </c>
      <c r="B92" s="24" t="s">
        <v>297</v>
      </c>
      <c r="C92" s="24" t="s">
        <v>807</v>
      </c>
      <c r="D92" s="24" t="s">
        <v>42</v>
      </c>
      <c r="E92" s="6" t="s">
        <v>481</v>
      </c>
      <c r="F92" s="5" t="s">
        <v>482</v>
      </c>
      <c r="G92" s="27">
        <v>48000</v>
      </c>
      <c r="H92" s="10"/>
      <c r="I92" s="27"/>
      <c r="J92" s="27"/>
      <c r="K92" s="10"/>
      <c r="L92" s="10"/>
      <c r="M92" s="11"/>
      <c r="N92" s="11"/>
      <c r="O92" s="11"/>
      <c r="P92" s="27">
        <f>4000+4000</f>
        <v>8000</v>
      </c>
      <c r="Q92" s="10"/>
      <c r="R92" s="27"/>
      <c r="S92" s="27"/>
      <c r="T92" s="11"/>
      <c r="U92" s="10"/>
      <c r="V92" s="10"/>
      <c r="W92" s="10"/>
      <c r="X92" s="10"/>
      <c r="Y92" s="27">
        <f>4000+4000</f>
        <v>8000</v>
      </c>
      <c r="Z92" s="10">
        <f t="shared" ref="Z92" si="36">SUM(Q92:Y92)</f>
        <v>8000</v>
      </c>
      <c r="AA92" s="10">
        <f t="shared" ref="AA92" si="37">G92-Z92</f>
        <v>40000</v>
      </c>
      <c r="AB92" s="20"/>
    </row>
    <row r="93" spans="1:28" s="21" customFormat="1" ht="25.5" customHeight="1" x14ac:dyDescent="0.2">
      <c r="A93" s="7">
        <v>89</v>
      </c>
      <c r="B93" s="24" t="s">
        <v>294</v>
      </c>
      <c r="C93" s="24" t="s">
        <v>807</v>
      </c>
      <c r="D93" s="24" t="s">
        <v>42</v>
      </c>
      <c r="E93" s="6" t="s">
        <v>481</v>
      </c>
      <c r="F93" s="5" t="s">
        <v>482</v>
      </c>
      <c r="G93" s="27">
        <v>99000</v>
      </c>
      <c r="H93" s="10"/>
      <c r="I93" s="27"/>
      <c r="J93" s="27"/>
      <c r="K93" s="10"/>
      <c r="L93" s="10"/>
      <c r="M93" s="11"/>
      <c r="N93" s="11"/>
      <c r="O93" s="11"/>
      <c r="P93" s="27">
        <f>8250+8250</f>
        <v>16500</v>
      </c>
      <c r="Q93" s="10"/>
      <c r="R93" s="27"/>
      <c r="S93" s="27"/>
      <c r="T93" s="11"/>
      <c r="U93" s="10"/>
      <c r="V93" s="10"/>
      <c r="W93" s="10"/>
      <c r="X93" s="10"/>
      <c r="Y93" s="27">
        <f>8250+8250</f>
        <v>16500</v>
      </c>
      <c r="Z93" s="10">
        <f t="shared" ref="Z93" si="38">SUM(Q93:Y93)</f>
        <v>16500</v>
      </c>
      <c r="AA93" s="10">
        <f t="shared" ref="AA93" si="39">G93-Z93</f>
        <v>82500</v>
      </c>
      <c r="AB93" s="20"/>
    </row>
    <row r="94" spans="1:28" s="21" customFormat="1" ht="25.5" customHeight="1" x14ac:dyDescent="0.2">
      <c r="A94" s="7">
        <v>90</v>
      </c>
      <c r="B94" s="24" t="s">
        <v>293</v>
      </c>
      <c r="C94" s="24" t="s">
        <v>807</v>
      </c>
      <c r="D94" s="24" t="s">
        <v>42</v>
      </c>
      <c r="E94" s="6" t="s">
        <v>481</v>
      </c>
      <c r="F94" s="5" t="s">
        <v>482</v>
      </c>
      <c r="G94" s="27">
        <v>99000</v>
      </c>
      <c r="H94" s="10"/>
      <c r="I94" s="27"/>
      <c r="J94" s="27"/>
      <c r="K94" s="10"/>
      <c r="L94" s="10"/>
      <c r="M94" s="11"/>
      <c r="N94" s="11"/>
      <c r="O94" s="11"/>
      <c r="P94" s="27">
        <f>8250+8250</f>
        <v>16500</v>
      </c>
      <c r="Q94" s="10"/>
      <c r="R94" s="27"/>
      <c r="S94" s="27"/>
      <c r="T94" s="11"/>
      <c r="U94" s="10"/>
      <c r="V94" s="10"/>
      <c r="W94" s="10"/>
      <c r="X94" s="10"/>
      <c r="Y94" s="27">
        <f>8250+8250</f>
        <v>16500</v>
      </c>
      <c r="Z94" s="10">
        <f t="shared" ref="Z94" si="40">SUM(Q94:Y94)</f>
        <v>16500</v>
      </c>
      <c r="AA94" s="10">
        <f t="shared" ref="AA94" si="41">G94-Z94</f>
        <v>82500</v>
      </c>
      <c r="AB94" s="20"/>
    </row>
    <row r="95" spans="1:28" s="21" customFormat="1" ht="25.5" customHeight="1" x14ac:dyDescent="0.2">
      <c r="A95" s="7">
        <v>91</v>
      </c>
      <c r="B95" s="24" t="s">
        <v>292</v>
      </c>
      <c r="C95" s="24" t="s">
        <v>807</v>
      </c>
      <c r="D95" s="24" t="s">
        <v>42</v>
      </c>
      <c r="E95" s="6" t="s">
        <v>481</v>
      </c>
      <c r="F95" s="5" t="s">
        <v>482</v>
      </c>
      <c r="G95" s="27">
        <v>99000</v>
      </c>
      <c r="H95" s="10"/>
      <c r="I95" s="27"/>
      <c r="J95" s="27"/>
      <c r="K95" s="10"/>
      <c r="L95" s="10"/>
      <c r="M95" s="11"/>
      <c r="N95" s="11"/>
      <c r="O95" s="11"/>
      <c r="P95" s="27">
        <f>8250+8250</f>
        <v>16500</v>
      </c>
      <c r="Q95" s="10"/>
      <c r="R95" s="27"/>
      <c r="S95" s="27"/>
      <c r="T95" s="11"/>
      <c r="U95" s="10"/>
      <c r="V95" s="10"/>
      <c r="W95" s="10"/>
      <c r="X95" s="10"/>
      <c r="Y95" s="27">
        <f>8250+8250</f>
        <v>16500</v>
      </c>
      <c r="Z95" s="10">
        <f t="shared" ref="Z95" si="42">SUM(Q95:Y95)</f>
        <v>16500</v>
      </c>
      <c r="AA95" s="10">
        <f t="shared" ref="AA95" si="43">G95-Z95</f>
        <v>82500</v>
      </c>
      <c r="AB95" s="20"/>
    </row>
    <row r="96" spans="1:28" s="21" customFormat="1" ht="25.5" customHeight="1" x14ac:dyDescent="0.2">
      <c r="A96" s="7">
        <v>92</v>
      </c>
      <c r="B96" s="24" t="s">
        <v>808</v>
      </c>
      <c r="C96" s="24" t="s">
        <v>794</v>
      </c>
      <c r="D96" s="24" t="s">
        <v>42</v>
      </c>
      <c r="E96" s="6" t="s">
        <v>791</v>
      </c>
      <c r="F96" s="5" t="s">
        <v>809</v>
      </c>
      <c r="G96" s="27">
        <v>2450</v>
      </c>
      <c r="H96" s="10"/>
      <c r="I96" s="27"/>
      <c r="J96" s="27"/>
      <c r="K96" s="10"/>
      <c r="L96" s="10"/>
      <c r="M96" s="11"/>
      <c r="N96" s="11"/>
      <c r="O96" s="11"/>
      <c r="P96" s="27">
        <v>2450</v>
      </c>
      <c r="Q96" s="10"/>
      <c r="R96" s="27"/>
      <c r="S96" s="27"/>
      <c r="T96" s="11"/>
      <c r="U96" s="10"/>
      <c r="V96" s="10"/>
      <c r="W96" s="10"/>
      <c r="X96" s="10"/>
      <c r="Y96" s="27">
        <v>2450</v>
      </c>
      <c r="Z96" s="10">
        <f t="shared" ref="Z96" si="44">SUM(Q96:Y96)</f>
        <v>2450</v>
      </c>
      <c r="AA96" s="10">
        <f t="shared" ref="AA96" si="45">G96-Z96</f>
        <v>0</v>
      </c>
      <c r="AB96" s="20"/>
    </row>
    <row r="97" spans="1:28" s="21" customFormat="1" ht="39" customHeight="1" x14ac:dyDescent="0.2">
      <c r="A97" s="7">
        <v>93</v>
      </c>
      <c r="B97" s="24" t="s">
        <v>812</v>
      </c>
      <c r="C97" s="24" t="s">
        <v>813</v>
      </c>
      <c r="D97" s="24" t="s">
        <v>42</v>
      </c>
      <c r="E97" s="6" t="s">
        <v>791</v>
      </c>
      <c r="F97" s="5" t="s">
        <v>592</v>
      </c>
      <c r="G97" s="27">
        <v>16500</v>
      </c>
      <c r="H97" s="10"/>
      <c r="I97" s="27"/>
      <c r="J97" s="27"/>
      <c r="K97" s="27"/>
      <c r="L97" s="27">
        <v>16500</v>
      </c>
      <c r="M97" s="11"/>
      <c r="N97" s="11"/>
      <c r="O97" s="11"/>
      <c r="P97" s="27"/>
      <c r="Q97" s="10"/>
      <c r="R97" s="27"/>
      <c r="S97" s="27"/>
      <c r="T97" s="11"/>
      <c r="U97" s="27">
        <v>16500</v>
      </c>
      <c r="V97" s="10"/>
      <c r="W97" s="10"/>
      <c r="X97" s="10"/>
      <c r="Y97" s="27"/>
      <c r="Z97" s="10">
        <f t="shared" ref="Z97" si="46">SUM(Q97:Y97)</f>
        <v>16500</v>
      </c>
      <c r="AA97" s="10">
        <f t="shared" ref="AA97" si="47">G97-Z97</f>
        <v>0</v>
      </c>
      <c r="AB97" s="20"/>
    </row>
    <row r="98" spans="1:28" s="21" customFormat="1" ht="24.75" customHeight="1" x14ac:dyDescent="0.2">
      <c r="A98" s="7">
        <v>94</v>
      </c>
      <c r="B98" s="24" t="s">
        <v>775</v>
      </c>
      <c r="C98" s="24" t="s">
        <v>813</v>
      </c>
      <c r="D98" s="24" t="s">
        <v>42</v>
      </c>
      <c r="E98" s="6" t="s">
        <v>791</v>
      </c>
      <c r="F98" s="5" t="s">
        <v>814</v>
      </c>
      <c r="G98" s="27">
        <v>11425</v>
      </c>
      <c r="H98" s="10"/>
      <c r="I98" s="27"/>
      <c r="J98" s="27"/>
      <c r="K98" s="27"/>
      <c r="L98" s="27"/>
      <c r="M98" s="11"/>
      <c r="N98" s="11"/>
      <c r="O98" s="11"/>
      <c r="P98" s="27">
        <v>11425</v>
      </c>
      <c r="Q98" s="10"/>
      <c r="R98" s="27"/>
      <c r="S98" s="27"/>
      <c r="T98" s="11"/>
      <c r="U98" s="27"/>
      <c r="V98" s="10"/>
      <c r="W98" s="10"/>
      <c r="X98" s="10"/>
      <c r="Y98" s="27">
        <v>11425</v>
      </c>
      <c r="Z98" s="10">
        <f t="shared" ref="Z98" si="48">SUM(Q98:Y98)</f>
        <v>11425</v>
      </c>
      <c r="AA98" s="10">
        <f t="shared" ref="AA98" si="49">G98-Z98</f>
        <v>0</v>
      </c>
      <c r="AB98" s="20"/>
    </row>
    <row r="99" spans="1:28" s="21" customFormat="1" ht="50.25" customHeight="1" x14ac:dyDescent="0.2">
      <c r="A99" s="7">
        <v>95</v>
      </c>
      <c r="B99" s="24" t="s">
        <v>816</v>
      </c>
      <c r="C99" s="24" t="s">
        <v>817</v>
      </c>
      <c r="D99" s="24" t="s">
        <v>42</v>
      </c>
      <c r="E99" s="6" t="s">
        <v>818</v>
      </c>
      <c r="F99" s="5" t="s">
        <v>819</v>
      </c>
      <c r="G99" s="27">
        <v>7500</v>
      </c>
      <c r="H99" s="10"/>
      <c r="I99" s="27"/>
      <c r="J99" s="27"/>
      <c r="K99" s="27"/>
      <c r="L99" s="27"/>
      <c r="M99" s="11">
        <v>7500</v>
      </c>
      <c r="N99" s="11"/>
      <c r="O99" s="11"/>
      <c r="P99" s="27"/>
      <c r="Q99" s="10"/>
      <c r="R99" s="27"/>
      <c r="S99" s="27"/>
      <c r="T99" s="11"/>
      <c r="U99" s="27"/>
      <c r="V99" s="11">
        <v>7500</v>
      </c>
      <c r="W99" s="10"/>
      <c r="X99" s="10"/>
      <c r="Y99" s="27"/>
      <c r="Z99" s="10">
        <f t="shared" ref="Z99" si="50">SUM(Q99:Y99)</f>
        <v>7500</v>
      </c>
      <c r="AA99" s="10">
        <f t="shared" ref="AA99" si="51">G99-Z99</f>
        <v>0</v>
      </c>
      <c r="AB99" s="20"/>
    </row>
    <row r="100" spans="1:28" s="21" customFormat="1" ht="36.75" customHeight="1" x14ac:dyDescent="0.2">
      <c r="A100" s="7">
        <v>96</v>
      </c>
      <c r="B100" s="24" t="s">
        <v>820</v>
      </c>
      <c r="C100" s="24" t="s">
        <v>817</v>
      </c>
      <c r="D100" s="24" t="s">
        <v>42</v>
      </c>
      <c r="E100" s="6" t="s">
        <v>822</v>
      </c>
      <c r="F100" s="5" t="s">
        <v>821</v>
      </c>
      <c r="G100" s="27">
        <v>4000</v>
      </c>
      <c r="H100" s="10"/>
      <c r="I100" s="27"/>
      <c r="J100" s="27"/>
      <c r="K100" s="27"/>
      <c r="L100" s="27"/>
      <c r="M100" s="27">
        <v>4000</v>
      </c>
      <c r="N100" s="11"/>
      <c r="O100" s="11"/>
      <c r="P100" s="27"/>
      <c r="Q100" s="10"/>
      <c r="R100" s="27"/>
      <c r="S100" s="27"/>
      <c r="T100" s="11"/>
      <c r="U100" s="27"/>
      <c r="V100" s="27">
        <v>4000</v>
      </c>
      <c r="W100" s="10"/>
      <c r="X100" s="10"/>
      <c r="Y100" s="27"/>
      <c r="Z100" s="10">
        <f t="shared" ref="Z100" si="52">SUM(Q100:Y100)</f>
        <v>4000</v>
      </c>
      <c r="AA100" s="10">
        <f t="shared" ref="AA100" si="53">G100-Z100</f>
        <v>0</v>
      </c>
      <c r="AB100" s="20"/>
    </row>
    <row r="101" spans="1:28" s="21" customFormat="1" ht="39" customHeight="1" x14ac:dyDescent="0.2">
      <c r="A101" s="7">
        <v>97</v>
      </c>
      <c r="B101" s="24" t="s">
        <v>824</v>
      </c>
      <c r="C101" s="25">
        <v>45404</v>
      </c>
      <c r="D101" s="25"/>
      <c r="E101" s="17" t="s">
        <v>472</v>
      </c>
      <c r="F101" s="17" t="s">
        <v>825</v>
      </c>
      <c r="G101" s="27">
        <v>1830</v>
      </c>
      <c r="H101" s="10">
        <v>1830</v>
      </c>
      <c r="I101" s="10"/>
      <c r="J101" s="10"/>
      <c r="K101" s="10"/>
      <c r="L101" s="10"/>
      <c r="M101" s="11"/>
      <c r="N101" s="11"/>
      <c r="O101" s="11"/>
      <c r="P101" s="11"/>
      <c r="Q101" s="11">
        <v>1830</v>
      </c>
      <c r="R101" s="11"/>
      <c r="S101" s="11"/>
      <c r="T101" s="11"/>
      <c r="U101" s="10"/>
      <c r="V101" s="10"/>
      <c r="W101" s="10"/>
      <c r="X101" s="10"/>
      <c r="Y101" s="11"/>
      <c r="Z101" s="10">
        <f t="shared" ref="Z101" si="54">SUM(Q101:Y101)</f>
        <v>1830</v>
      </c>
      <c r="AA101" s="10">
        <f t="shared" ref="AA101" si="55">G101-Z101</f>
        <v>0</v>
      </c>
      <c r="AB101" s="20"/>
    </row>
    <row r="102" spans="1:28" s="21" customFormat="1" ht="24" customHeight="1" x14ac:dyDescent="0.2">
      <c r="A102" s="7">
        <v>98</v>
      </c>
      <c r="B102" s="24" t="s">
        <v>834</v>
      </c>
      <c r="C102" s="25">
        <v>45342</v>
      </c>
      <c r="D102" s="25">
        <v>45657</v>
      </c>
      <c r="E102" s="17" t="s">
        <v>835</v>
      </c>
      <c r="F102" s="17" t="s">
        <v>836</v>
      </c>
      <c r="G102" s="27">
        <v>58924.32</v>
      </c>
      <c r="H102" s="10"/>
      <c r="I102" s="10"/>
      <c r="J102" s="10"/>
      <c r="K102" s="10"/>
      <c r="L102" s="10"/>
      <c r="M102" s="27">
        <v>58924.32</v>
      </c>
      <c r="N102" s="11"/>
      <c r="O102" s="11"/>
      <c r="P102" s="11"/>
      <c r="Q102" s="11"/>
      <c r="R102" s="11"/>
      <c r="S102" s="11"/>
      <c r="T102" s="11"/>
      <c r="U102" s="10"/>
      <c r="V102" s="10">
        <f>10198.44+20761.11+19344.66+8620.11</f>
        <v>58924.320000000007</v>
      </c>
      <c r="W102" s="10"/>
      <c r="X102" s="10"/>
      <c r="Y102" s="11"/>
      <c r="Z102" s="10">
        <f t="shared" ref="Z102" si="56">SUM(Q102:Y102)</f>
        <v>58924.320000000007</v>
      </c>
      <c r="AA102" s="10">
        <f t="shared" ref="AA102" si="57">G102-Z102</f>
        <v>0</v>
      </c>
      <c r="AB102" s="20"/>
    </row>
    <row r="103" spans="1:28" s="21" customFormat="1" ht="17.25" customHeight="1" x14ac:dyDescent="0.2">
      <c r="A103" s="7">
        <v>99</v>
      </c>
      <c r="B103" s="24" t="s">
        <v>299</v>
      </c>
      <c r="C103" s="25">
        <v>45308</v>
      </c>
      <c r="D103" s="25">
        <v>45657</v>
      </c>
      <c r="E103" s="17" t="s">
        <v>911</v>
      </c>
      <c r="F103" s="17" t="s">
        <v>356</v>
      </c>
      <c r="G103" s="27">
        <v>99000</v>
      </c>
      <c r="H103" s="10">
        <f>2600+2000+4000</f>
        <v>8600</v>
      </c>
      <c r="I103" s="10"/>
      <c r="J103" s="10"/>
      <c r="K103" s="10"/>
      <c r="L103" s="10"/>
      <c r="M103" s="27"/>
      <c r="N103" s="11"/>
      <c r="O103" s="11"/>
      <c r="P103" s="11">
        <f>9800+6000+4700+5000+3500+4500</f>
        <v>33500</v>
      </c>
      <c r="Q103" s="10">
        <f>2600+2000+4000</f>
        <v>8600</v>
      </c>
      <c r="R103" s="11"/>
      <c r="S103" s="11"/>
      <c r="T103" s="11"/>
      <c r="U103" s="10"/>
      <c r="V103" s="10"/>
      <c r="W103" s="10"/>
      <c r="X103" s="10"/>
      <c r="Y103" s="11">
        <f>9800+6000+4700+5000+3500+4500</f>
        <v>33500</v>
      </c>
      <c r="Z103" s="10">
        <f t="shared" ref="Z103" si="58">SUM(Q103:Y103)</f>
        <v>42100</v>
      </c>
      <c r="AA103" s="10">
        <f t="shared" ref="AA103" si="59">G103-Z103</f>
        <v>56900</v>
      </c>
      <c r="AB103" s="20"/>
    </row>
    <row r="104" spans="1:28" s="21" customFormat="1" ht="38.25" customHeight="1" x14ac:dyDescent="0.2">
      <c r="A104" s="7">
        <v>100</v>
      </c>
      <c r="B104" s="24" t="s">
        <v>927</v>
      </c>
      <c r="C104" s="25">
        <v>45369</v>
      </c>
      <c r="D104" s="25">
        <v>45382</v>
      </c>
      <c r="E104" s="17" t="s">
        <v>928</v>
      </c>
      <c r="F104" s="17" t="s">
        <v>929</v>
      </c>
      <c r="G104" s="27">
        <v>20000</v>
      </c>
      <c r="H104" s="10"/>
      <c r="I104" s="10"/>
      <c r="J104" s="10"/>
      <c r="K104" s="10"/>
      <c r="L104" s="10"/>
      <c r="M104" s="27"/>
      <c r="N104" s="11"/>
      <c r="O104" s="11"/>
      <c r="P104" s="27">
        <v>20000</v>
      </c>
      <c r="Q104" s="11"/>
      <c r="R104" s="11"/>
      <c r="S104" s="11"/>
      <c r="T104" s="11"/>
      <c r="U104" s="10"/>
      <c r="V104" s="10"/>
      <c r="W104" s="10"/>
      <c r="X104" s="10"/>
      <c r="Y104" s="27">
        <v>20000</v>
      </c>
      <c r="Z104" s="10">
        <f t="shared" ref="Z104" si="60">SUM(Q104:Y104)</f>
        <v>20000</v>
      </c>
      <c r="AA104" s="10">
        <f t="shared" ref="AA104" si="61">G104-Z104</f>
        <v>0</v>
      </c>
      <c r="AB104" s="20"/>
    </row>
    <row r="105" spans="1:28" s="21" customFormat="1" ht="38.25" customHeight="1" x14ac:dyDescent="0.2">
      <c r="A105" s="7">
        <v>101</v>
      </c>
      <c r="B105" s="24" t="s">
        <v>947</v>
      </c>
      <c r="C105" s="25">
        <v>45449</v>
      </c>
      <c r="D105" s="25">
        <v>45657</v>
      </c>
      <c r="E105" s="17" t="s">
        <v>948</v>
      </c>
      <c r="F105" s="17" t="s">
        <v>949</v>
      </c>
      <c r="G105" s="27">
        <v>183600</v>
      </c>
      <c r="H105" s="10"/>
      <c r="I105" s="10"/>
      <c r="J105" s="10"/>
      <c r="K105" s="10"/>
      <c r="L105" s="10"/>
      <c r="M105" s="27">
        <v>183600</v>
      </c>
      <c r="N105" s="11"/>
      <c r="O105" s="11"/>
      <c r="P105" s="27"/>
      <c r="Q105" s="11"/>
      <c r="R105" s="11"/>
      <c r="S105" s="11"/>
      <c r="T105" s="11"/>
      <c r="U105" s="10"/>
      <c r="V105" s="27">
        <v>183600</v>
      </c>
      <c r="W105" s="10"/>
      <c r="X105" s="10"/>
      <c r="Y105" s="27"/>
      <c r="Z105" s="10">
        <f t="shared" ref="Z105" si="62">SUM(Q105:Y105)</f>
        <v>183600</v>
      </c>
      <c r="AA105" s="10">
        <f t="shared" ref="AA105" si="63">G105-Z105</f>
        <v>0</v>
      </c>
      <c r="AB105" s="20"/>
    </row>
    <row r="106" spans="1:28" s="21" customFormat="1" ht="27.75" customHeight="1" x14ac:dyDescent="0.2">
      <c r="A106" s="7">
        <v>102</v>
      </c>
      <c r="B106" s="24" t="s">
        <v>951</v>
      </c>
      <c r="C106" s="25">
        <v>45449</v>
      </c>
      <c r="D106" s="25">
        <v>45657</v>
      </c>
      <c r="E106" s="17" t="s">
        <v>952</v>
      </c>
      <c r="F106" s="17" t="s">
        <v>953</v>
      </c>
      <c r="G106" s="27">
        <v>67200</v>
      </c>
      <c r="H106" s="10"/>
      <c r="I106" s="10"/>
      <c r="J106" s="10"/>
      <c r="K106" s="10"/>
      <c r="L106" s="10"/>
      <c r="M106" s="27"/>
      <c r="N106" s="11"/>
      <c r="O106" s="11"/>
      <c r="P106" s="27">
        <v>67200</v>
      </c>
      <c r="Q106" s="11"/>
      <c r="R106" s="11"/>
      <c r="S106" s="11"/>
      <c r="T106" s="11"/>
      <c r="U106" s="10"/>
      <c r="V106" s="10"/>
      <c r="W106" s="10"/>
      <c r="X106" s="10"/>
      <c r="Y106" s="27">
        <v>67200</v>
      </c>
      <c r="Z106" s="10">
        <f t="shared" ref="Z106" si="64">SUM(Q106:Y106)</f>
        <v>67200</v>
      </c>
      <c r="AA106" s="10">
        <f t="shared" ref="AA106" si="65">G106-Z106</f>
        <v>0</v>
      </c>
      <c r="AB106" s="20"/>
    </row>
    <row r="107" spans="1:28" s="21" customFormat="1" ht="18" customHeight="1" x14ac:dyDescent="0.2">
      <c r="A107" s="7">
        <v>103</v>
      </c>
      <c r="B107" s="24" t="s">
        <v>188</v>
      </c>
      <c r="C107" s="25">
        <v>45460</v>
      </c>
      <c r="D107" s="25">
        <v>45657</v>
      </c>
      <c r="E107" s="17" t="s">
        <v>174</v>
      </c>
      <c r="F107" s="17" t="s">
        <v>956</v>
      </c>
      <c r="G107" s="27">
        <v>4698</v>
      </c>
      <c r="H107" s="10"/>
      <c r="I107" s="27">
        <v>4698</v>
      </c>
      <c r="J107" s="27"/>
      <c r="K107" s="10"/>
      <c r="L107" s="10"/>
      <c r="M107" s="27"/>
      <c r="N107" s="11"/>
      <c r="O107" s="11"/>
      <c r="P107" s="27"/>
      <c r="Q107" s="11"/>
      <c r="R107" s="27">
        <v>4698</v>
      </c>
      <c r="S107" s="27"/>
      <c r="T107" s="11"/>
      <c r="U107" s="10"/>
      <c r="V107" s="10"/>
      <c r="W107" s="10"/>
      <c r="X107" s="10"/>
      <c r="Y107" s="27"/>
      <c r="Z107" s="10">
        <f t="shared" ref="Z107" si="66">SUM(Q107:Y107)</f>
        <v>4698</v>
      </c>
      <c r="AA107" s="10">
        <f t="shared" ref="AA107" si="67">G107-Z107</f>
        <v>0</v>
      </c>
      <c r="AB107" s="20"/>
    </row>
    <row r="108" spans="1:28" s="21" customFormat="1" ht="53.25" customHeight="1" x14ac:dyDescent="0.2">
      <c r="A108" s="7">
        <v>104</v>
      </c>
      <c r="B108" s="24" t="s">
        <v>975</v>
      </c>
      <c r="C108" s="25">
        <v>45457</v>
      </c>
      <c r="D108" s="25">
        <v>45657</v>
      </c>
      <c r="E108" s="17" t="s">
        <v>976</v>
      </c>
      <c r="F108" s="17" t="s">
        <v>977</v>
      </c>
      <c r="G108" s="27">
        <v>33000</v>
      </c>
      <c r="H108" s="10"/>
      <c r="I108" s="27">
        <v>33000</v>
      </c>
      <c r="J108" s="27"/>
      <c r="K108" s="10"/>
      <c r="L108" s="10"/>
      <c r="M108" s="27"/>
      <c r="N108" s="11"/>
      <c r="O108" s="11"/>
      <c r="P108" s="27"/>
      <c r="Q108" s="11"/>
      <c r="R108" s="27">
        <v>33000</v>
      </c>
      <c r="S108" s="27"/>
      <c r="T108" s="11"/>
      <c r="U108" s="10"/>
      <c r="V108" s="10"/>
      <c r="W108" s="10"/>
      <c r="X108" s="10"/>
      <c r="Y108" s="27"/>
      <c r="Z108" s="10">
        <f t="shared" ref="Z108" si="68">SUM(Q108:Y108)</f>
        <v>33000</v>
      </c>
      <c r="AA108" s="10">
        <f t="shared" ref="AA108" si="69">G108-Z108</f>
        <v>0</v>
      </c>
      <c r="AB108" s="20"/>
    </row>
    <row r="109" spans="1:28" s="21" customFormat="1" ht="37.5" customHeight="1" x14ac:dyDescent="0.2">
      <c r="A109" s="7">
        <v>105</v>
      </c>
      <c r="B109" s="24" t="s">
        <v>978</v>
      </c>
      <c r="C109" s="25">
        <v>45330</v>
      </c>
      <c r="D109" s="25">
        <v>45657</v>
      </c>
      <c r="E109" s="17" t="s">
        <v>979</v>
      </c>
      <c r="F109" s="17" t="s">
        <v>980</v>
      </c>
      <c r="G109" s="27">
        <v>152360</v>
      </c>
      <c r="H109" s="10">
        <f>3600+1440</f>
        <v>5040</v>
      </c>
      <c r="I109" s="27"/>
      <c r="J109" s="27"/>
      <c r="K109" s="10"/>
      <c r="L109" s="10"/>
      <c r="M109" s="27"/>
      <c r="N109" s="11"/>
      <c r="O109" s="11"/>
      <c r="P109" s="27"/>
      <c r="Q109" s="10">
        <f>3600+1440</f>
        <v>5040</v>
      </c>
      <c r="R109" s="27"/>
      <c r="S109" s="27"/>
      <c r="T109" s="11"/>
      <c r="U109" s="10"/>
      <c r="V109" s="10"/>
      <c r="W109" s="10"/>
      <c r="X109" s="10"/>
      <c r="Y109" s="27"/>
      <c r="Z109" s="10">
        <f t="shared" ref="Z109" si="70">SUM(Q109:Y109)</f>
        <v>5040</v>
      </c>
      <c r="AA109" s="10">
        <f t="shared" ref="AA109" si="71">G109-Z109</f>
        <v>147320</v>
      </c>
      <c r="AB109" s="20"/>
    </row>
    <row r="110" spans="1:28" s="21" customFormat="1" ht="51.75" customHeight="1" x14ac:dyDescent="0.2">
      <c r="A110" s="7">
        <v>106</v>
      </c>
      <c r="B110" s="24" t="s">
        <v>1000</v>
      </c>
      <c r="C110" s="25">
        <v>45455</v>
      </c>
      <c r="D110" s="25">
        <v>45657</v>
      </c>
      <c r="E110" s="17" t="s">
        <v>1001</v>
      </c>
      <c r="F110" s="17" t="s">
        <v>1002</v>
      </c>
      <c r="G110" s="27">
        <v>2134.0100000000002</v>
      </c>
      <c r="H110" s="10"/>
      <c r="I110" s="27"/>
      <c r="J110" s="27"/>
      <c r="K110" s="10"/>
      <c r="L110" s="10"/>
      <c r="M110" s="27"/>
      <c r="N110" s="11"/>
      <c r="O110" s="11"/>
      <c r="P110" s="27">
        <v>2134.0100000000002</v>
      </c>
      <c r="Q110" s="10"/>
      <c r="R110" s="27"/>
      <c r="S110" s="27"/>
      <c r="T110" s="11"/>
      <c r="U110" s="10"/>
      <c r="V110" s="10"/>
      <c r="W110" s="10"/>
      <c r="X110" s="10"/>
      <c r="Y110" s="27">
        <v>2134.0100000000002</v>
      </c>
      <c r="Z110" s="10">
        <f t="shared" ref="Z110" si="72">SUM(Q110:Y110)</f>
        <v>2134.0100000000002</v>
      </c>
      <c r="AA110" s="10">
        <f t="shared" ref="AA110" si="73">G110-Z110</f>
        <v>0</v>
      </c>
      <c r="AB110" s="20"/>
    </row>
    <row r="111" spans="1:28" s="21" customFormat="1" ht="36.75" customHeight="1" x14ac:dyDescent="0.2">
      <c r="A111" s="7">
        <v>107</v>
      </c>
      <c r="B111" s="24" t="s">
        <v>1003</v>
      </c>
      <c r="C111" s="25">
        <v>45268</v>
      </c>
      <c r="D111" s="25">
        <v>45657</v>
      </c>
      <c r="E111" s="5" t="s">
        <v>445</v>
      </c>
      <c r="F111" s="5" t="s">
        <v>446</v>
      </c>
      <c r="G111" s="27">
        <v>487018</v>
      </c>
      <c r="H111" s="10"/>
      <c r="I111" s="27"/>
      <c r="J111" s="27"/>
      <c r="K111" s="10"/>
      <c r="L111" s="10"/>
      <c r="M111" s="27"/>
      <c r="N111" s="11"/>
      <c r="O111" s="11"/>
      <c r="P111" s="27">
        <f>36636+17220+31031+40346+68254+62683+101360</f>
        <v>357530</v>
      </c>
      <c r="Q111" s="10"/>
      <c r="R111" s="27"/>
      <c r="S111" s="27"/>
      <c r="T111" s="11"/>
      <c r="U111" s="10"/>
      <c r="V111" s="10"/>
      <c r="W111" s="10"/>
      <c r="X111" s="10"/>
      <c r="Y111" s="27">
        <f>36636+17220+31031+40346+68254+62683+101360</f>
        <v>357530</v>
      </c>
      <c r="Z111" s="10">
        <f t="shared" ref="Z111" si="74">SUM(Q111:Y111)</f>
        <v>357530</v>
      </c>
      <c r="AA111" s="10">
        <f t="shared" ref="AA111" si="75">G111-Z111</f>
        <v>129488</v>
      </c>
      <c r="AB111" s="20"/>
    </row>
    <row r="112" spans="1:28" s="21" customFormat="1" ht="54" customHeight="1" x14ac:dyDescent="0.2">
      <c r="A112" s="7">
        <v>108</v>
      </c>
      <c r="B112" s="24" t="s">
        <v>1004</v>
      </c>
      <c r="C112" s="25">
        <v>45420</v>
      </c>
      <c r="D112" s="25">
        <v>45657</v>
      </c>
      <c r="E112" s="5" t="s">
        <v>1006</v>
      </c>
      <c r="F112" s="5" t="s">
        <v>1005</v>
      </c>
      <c r="G112" s="27">
        <v>243741</v>
      </c>
      <c r="H112" s="10"/>
      <c r="I112" s="27"/>
      <c r="J112" s="27"/>
      <c r="K112" s="10"/>
      <c r="L112" s="10"/>
      <c r="M112" s="27"/>
      <c r="N112" s="11"/>
      <c r="O112" s="11"/>
      <c r="P112" s="27">
        <f>36727.2+18058.5+16951.5+23184+21528+22770</f>
        <v>139219.20000000001</v>
      </c>
      <c r="Q112" s="10"/>
      <c r="R112" s="27"/>
      <c r="S112" s="27"/>
      <c r="T112" s="11"/>
      <c r="U112" s="10"/>
      <c r="V112" s="10"/>
      <c r="W112" s="10"/>
      <c r="X112" s="10"/>
      <c r="Y112" s="27">
        <f>36727.2+18058.5+16951.5+23184+21528+22770</f>
        <v>139219.20000000001</v>
      </c>
      <c r="Z112" s="10">
        <f t="shared" ref="Z112" si="76">SUM(Q112:Y112)</f>
        <v>139219.20000000001</v>
      </c>
      <c r="AA112" s="10">
        <f t="shared" ref="AA112" si="77">G112-Z112</f>
        <v>104521.79999999999</v>
      </c>
      <c r="AB112" s="20"/>
    </row>
    <row r="113" spans="1:28" s="21" customFormat="1" ht="27" customHeight="1" x14ac:dyDescent="0.2">
      <c r="A113" s="7">
        <v>109</v>
      </c>
      <c r="B113" s="24" t="s">
        <v>240</v>
      </c>
      <c r="C113" s="25">
        <v>45475</v>
      </c>
      <c r="D113" s="25">
        <v>45657</v>
      </c>
      <c r="E113" s="5" t="s">
        <v>1017</v>
      </c>
      <c r="F113" s="5" t="s">
        <v>477</v>
      </c>
      <c r="G113" s="27">
        <v>3780</v>
      </c>
      <c r="H113" s="10"/>
      <c r="I113" s="27">
        <v>2700</v>
      </c>
      <c r="J113" s="27"/>
      <c r="K113" s="10"/>
      <c r="L113" s="10">
        <v>1080</v>
      </c>
      <c r="M113" s="27"/>
      <c r="N113" s="11"/>
      <c r="O113" s="11"/>
      <c r="P113" s="27"/>
      <c r="Q113" s="10"/>
      <c r="R113" s="27">
        <v>2700</v>
      </c>
      <c r="S113" s="27"/>
      <c r="T113" s="11"/>
      <c r="U113" s="10">
        <v>1080</v>
      </c>
      <c r="V113" s="10"/>
      <c r="W113" s="10"/>
      <c r="X113" s="10"/>
      <c r="Y113" s="27"/>
      <c r="Z113" s="10">
        <f t="shared" ref="Z113" si="78">SUM(Q113:Y113)</f>
        <v>3780</v>
      </c>
      <c r="AA113" s="10">
        <f t="shared" ref="AA113" si="79">G113-Z113</f>
        <v>0</v>
      </c>
      <c r="AB113" s="20"/>
    </row>
    <row r="114" spans="1:28" s="21" customFormat="1" ht="27" customHeight="1" x14ac:dyDescent="0.2">
      <c r="A114" s="7">
        <v>110</v>
      </c>
      <c r="B114" s="24" t="s">
        <v>1021</v>
      </c>
      <c r="C114" s="25">
        <v>45432</v>
      </c>
      <c r="D114" s="25">
        <v>45657</v>
      </c>
      <c r="E114" s="5" t="s">
        <v>1017</v>
      </c>
      <c r="F114" s="5" t="s">
        <v>477</v>
      </c>
      <c r="G114" s="27">
        <v>1680</v>
      </c>
      <c r="H114" s="10"/>
      <c r="I114" s="27">
        <v>1080</v>
      </c>
      <c r="J114" s="27"/>
      <c r="K114" s="10"/>
      <c r="L114" s="10">
        <v>600</v>
      </c>
      <c r="M114" s="27"/>
      <c r="N114" s="11"/>
      <c r="O114" s="11"/>
      <c r="P114" s="27"/>
      <c r="Q114" s="10"/>
      <c r="R114" s="27">
        <v>1080</v>
      </c>
      <c r="S114" s="27"/>
      <c r="T114" s="11"/>
      <c r="U114" s="10">
        <v>600</v>
      </c>
      <c r="V114" s="10"/>
      <c r="W114" s="10"/>
      <c r="X114" s="10"/>
      <c r="Y114" s="27"/>
      <c r="Z114" s="10">
        <f t="shared" ref="Z114" si="80">SUM(Q114:Y114)</f>
        <v>1680</v>
      </c>
      <c r="AA114" s="10">
        <f t="shared" ref="AA114" si="81">G114-Z114</f>
        <v>0</v>
      </c>
      <c r="AB114" s="20"/>
    </row>
    <row r="115" spans="1:28" s="21" customFormat="1" ht="27.75" customHeight="1" x14ac:dyDescent="0.2">
      <c r="A115" s="7">
        <v>111</v>
      </c>
      <c r="B115" s="24" t="s">
        <v>1026</v>
      </c>
      <c r="C115" s="25">
        <v>45478</v>
      </c>
      <c r="D115" s="25">
        <v>45657</v>
      </c>
      <c r="E115" s="6" t="s">
        <v>101</v>
      </c>
      <c r="F115" s="17" t="s">
        <v>1028</v>
      </c>
      <c r="G115" s="27">
        <v>17050</v>
      </c>
      <c r="H115" s="10"/>
      <c r="I115" s="10">
        <f>6160+10890</f>
        <v>17050</v>
      </c>
      <c r="J115" s="10"/>
      <c r="K115" s="10"/>
      <c r="L115" s="10"/>
      <c r="M115" s="27"/>
      <c r="N115" s="11"/>
      <c r="O115" s="11"/>
      <c r="P115" s="11"/>
      <c r="Q115" s="11"/>
      <c r="R115" s="10">
        <f>6160+10890</f>
        <v>17050</v>
      </c>
      <c r="S115" s="10"/>
      <c r="T115" s="11"/>
      <c r="U115" s="10"/>
      <c r="V115" s="10"/>
      <c r="W115" s="10"/>
      <c r="X115" s="10"/>
      <c r="Y115" s="11"/>
      <c r="Z115" s="10">
        <f t="shared" ref="Z115" si="82">SUM(Q115:Y115)</f>
        <v>17050</v>
      </c>
      <c r="AA115" s="10">
        <f t="shared" ref="AA115" si="83">G115-Z115</f>
        <v>0</v>
      </c>
      <c r="AB115" s="20"/>
    </row>
    <row r="116" spans="1:28" s="21" customFormat="1" ht="15.75" customHeight="1" x14ac:dyDescent="0.2">
      <c r="A116" s="7">
        <v>112</v>
      </c>
      <c r="B116" s="24" t="s">
        <v>1027</v>
      </c>
      <c r="C116" s="25">
        <v>45478</v>
      </c>
      <c r="D116" s="25">
        <v>45657</v>
      </c>
      <c r="E116" s="6" t="s">
        <v>101</v>
      </c>
      <c r="F116" s="17" t="s">
        <v>564</v>
      </c>
      <c r="G116" s="27">
        <v>28770</v>
      </c>
      <c r="H116" s="10"/>
      <c r="I116" s="10">
        <f>14370+14400</f>
        <v>28770</v>
      </c>
      <c r="J116" s="10"/>
      <c r="K116" s="10"/>
      <c r="L116" s="10"/>
      <c r="M116" s="27"/>
      <c r="N116" s="11"/>
      <c r="O116" s="11"/>
      <c r="P116" s="11"/>
      <c r="Q116" s="11"/>
      <c r="R116" s="10">
        <f>14370+14400</f>
        <v>28770</v>
      </c>
      <c r="S116" s="10"/>
      <c r="T116" s="11"/>
      <c r="U116" s="10"/>
      <c r="V116" s="10"/>
      <c r="W116" s="10"/>
      <c r="X116" s="10"/>
      <c r="Y116" s="11"/>
      <c r="Z116" s="10">
        <f t="shared" ref="Z116" si="84">SUM(Q116:Y116)</f>
        <v>28770</v>
      </c>
      <c r="AA116" s="10">
        <f t="shared" ref="AA116" si="85">G116-Z116</f>
        <v>0</v>
      </c>
      <c r="AB116" s="20"/>
    </row>
    <row r="117" spans="1:28" s="21" customFormat="1" ht="111" customHeight="1" x14ac:dyDescent="0.2">
      <c r="A117" s="7">
        <v>113</v>
      </c>
      <c r="B117" s="24" t="s">
        <v>1034</v>
      </c>
      <c r="C117" s="25">
        <v>45482</v>
      </c>
      <c r="D117" s="25">
        <v>45657</v>
      </c>
      <c r="E117" s="6" t="s">
        <v>1035</v>
      </c>
      <c r="F117" s="50" t="s">
        <v>1036</v>
      </c>
      <c r="G117" s="27">
        <v>65000</v>
      </c>
      <c r="H117" s="10"/>
      <c r="I117" s="10"/>
      <c r="J117" s="10"/>
      <c r="K117" s="10"/>
      <c r="L117" s="10"/>
      <c r="M117" s="27">
        <v>65000</v>
      </c>
      <c r="N117" s="11"/>
      <c r="O117" s="11"/>
      <c r="P117" s="11"/>
      <c r="Q117" s="11"/>
      <c r="R117" s="10"/>
      <c r="S117" s="10"/>
      <c r="T117" s="11"/>
      <c r="U117" s="10"/>
      <c r="V117" s="27">
        <v>65000</v>
      </c>
      <c r="W117" s="10"/>
      <c r="X117" s="10"/>
      <c r="Y117" s="11"/>
      <c r="Z117" s="10">
        <f t="shared" ref="Z117" si="86">SUM(Q117:Y117)</f>
        <v>65000</v>
      </c>
      <c r="AA117" s="10">
        <f t="shared" ref="AA117" si="87">G117-Z117</f>
        <v>0</v>
      </c>
      <c r="AB117" s="20"/>
    </row>
    <row r="118" spans="1:28" s="21" customFormat="1" ht="35.25" customHeight="1" x14ac:dyDescent="0.2">
      <c r="A118" s="7">
        <v>114</v>
      </c>
      <c r="B118" s="24" t="s">
        <v>1037</v>
      </c>
      <c r="C118" s="25">
        <v>45483</v>
      </c>
      <c r="D118" s="25">
        <v>45657</v>
      </c>
      <c r="E118" s="6" t="s">
        <v>558</v>
      </c>
      <c r="F118" s="50" t="s">
        <v>1038</v>
      </c>
      <c r="G118" s="27">
        <v>97188</v>
      </c>
      <c r="H118" s="10"/>
      <c r="I118" s="10"/>
      <c r="J118" s="10"/>
      <c r="K118" s="10"/>
      <c r="L118" s="10"/>
      <c r="M118" s="27">
        <v>97188</v>
      </c>
      <c r="N118" s="11"/>
      <c r="O118" s="11"/>
      <c r="P118" s="11"/>
      <c r="Q118" s="11"/>
      <c r="R118" s="10"/>
      <c r="S118" s="10"/>
      <c r="T118" s="11"/>
      <c r="U118" s="10"/>
      <c r="V118" s="27">
        <v>97188</v>
      </c>
      <c r="W118" s="10"/>
      <c r="X118" s="10"/>
      <c r="Y118" s="11"/>
      <c r="Z118" s="10">
        <f t="shared" ref="Z118" si="88">SUM(Q118:Y118)</f>
        <v>97188</v>
      </c>
      <c r="AA118" s="10">
        <f t="shared" ref="AA118" si="89">G118-Z118</f>
        <v>0</v>
      </c>
      <c r="AB118" s="20"/>
    </row>
    <row r="119" spans="1:28" s="21" customFormat="1" ht="18.75" customHeight="1" x14ac:dyDescent="0.2">
      <c r="A119" s="7">
        <v>115</v>
      </c>
      <c r="B119" s="24" t="s">
        <v>1065</v>
      </c>
      <c r="C119" s="25">
        <v>45435</v>
      </c>
      <c r="D119" s="25">
        <v>45657</v>
      </c>
      <c r="E119" s="6" t="s">
        <v>1066</v>
      </c>
      <c r="F119" s="50" t="s">
        <v>1067</v>
      </c>
      <c r="G119" s="27">
        <v>9773</v>
      </c>
      <c r="H119" s="27">
        <v>9773</v>
      </c>
      <c r="I119" s="10"/>
      <c r="J119" s="10"/>
      <c r="K119" s="10"/>
      <c r="L119" s="10"/>
      <c r="M119" s="27"/>
      <c r="N119" s="11"/>
      <c r="O119" s="11"/>
      <c r="P119" s="11"/>
      <c r="Q119" s="27">
        <v>9773</v>
      </c>
      <c r="R119" s="10"/>
      <c r="S119" s="10"/>
      <c r="T119" s="11"/>
      <c r="U119" s="10"/>
      <c r="V119" s="27"/>
      <c r="W119" s="10"/>
      <c r="X119" s="10"/>
      <c r="Y119" s="11"/>
      <c r="Z119" s="10">
        <f t="shared" ref="Z119" si="90">SUM(Q119:Y119)</f>
        <v>9773</v>
      </c>
      <c r="AA119" s="10">
        <f t="shared" ref="AA119" si="91">G119-Z119</f>
        <v>0</v>
      </c>
      <c r="AB119" s="20"/>
    </row>
    <row r="120" spans="1:28" s="21" customFormat="1" ht="18.75" customHeight="1" x14ac:dyDescent="0.2">
      <c r="A120" s="7">
        <v>116</v>
      </c>
      <c r="B120" s="24" t="s">
        <v>1068</v>
      </c>
      <c r="C120" s="25">
        <v>45478</v>
      </c>
      <c r="D120" s="25">
        <v>45657</v>
      </c>
      <c r="E120" s="6" t="s">
        <v>1066</v>
      </c>
      <c r="F120" s="50" t="s">
        <v>1067</v>
      </c>
      <c r="G120" s="27">
        <v>407</v>
      </c>
      <c r="H120" s="27">
        <v>407</v>
      </c>
      <c r="I120" s="10"/>
      <c r="J120" s="10"/>
      <c r="K120" s="10"/>
      <c r="L120" s="10"/>
      <c r="M120" s="27"/>
      <c r="N120" s="11"/>
      <c r="O120" s="11"/>
      <c r="P120" s="11"/>
      <c r="Q120" s="27">
        <v>407</v>
      </c>
      <c r="R120" s="10"/>
      <c r="S120" s="10"/>
      <c r="T120" s="11"/>
      <c r="U120" s="10"/>
      <c r="V120" s="27"/>
      <c r="W120" s="10"/>
      <c r="X120" s="10"/>
      <c r="Y120" s="11"/>
      <c r="Z120" s="10">
        <f t="shared" ref="Z120" si="92">SUM(Q120:Y120)</f>
        <v>407</v>
      </c>
      <c r="AA120" s="10">
        <f t="shared" ref="AA120" si="93">G120-Z120</f>
        <v>0</v>
      </c>
      <c r="AB120" s="20"/>
    </row>
    <row r="121" spans="1:28" s="21" customFormat="1" ht="33.75" customHeight="1" x14ac:dyDescent="0.2">
      <c r="A121" s="7">
        <v>117</v>
      </c>
      <c r="B121" s="24" t="s">
        <v>1069</v>
      </c>
      <c r="C121" s="25">
        <v>45488</v>
      </c>
      <c r="D121" s="25">
        <v>45657</v>
      </c>
      <c r="E121" s="6" t="s">
        <v>1070</v>
      </c>
      <c r="F121" s="50" t="s">
        <v>1071</v>
      </c>
      <c r="G121" s="27">
        <v>44437.54</v>
      </c>
      <c r="H121" s="27"/>
      <c r="I121" s="10"/>
      <c r="J121" s="10"/>
      <c r="K121" s="10"/>
      <c r="L121" s="10"/>
      <c r="M121" s="27">
        <v>44437.54</v>
      </c>
      <c r="N121" s="11"/>
      <c r="O121" s="11"/>
      <c r="P121" s="11"/>
      <c r="Q121" s="27"/>
      <c r="R121" s="10"/>
      <c r="S121" s="10"/>
      <c r="T121" s="11"/>
      <c r="U121" s="10"/>
      <c r="V121" s="27">
        <v>44437.54</v>
      </c>
      <c r="W121" s="10"/>
      <c r="X121" s="10"/>
      <c r="Y121" s="11"/>
      <c r="Z121" s="10">
        <f t="shared" ref="Z121" si="94">SUM(Q121:Y121)</f>
        <v>44437.54</v>
      </c>
      <c r="AA121" s="10">
        <f t="shared" ref="AA121" si="95">G121-Z121</f>
        <v>0</v>
      </c>
      <c r="AB121" s="20"/>
    </row>
    <row r="122" spans="1:28" s="21" customFormat="1" ht="24" customHeight="1" x14ac:dyDescent="0.2">
      <c r="A122" s="7">
        <v>118</v>
      </c>
      <c r="B122" s="24" t="s">
        <v>1072</v>
      </c>
      <c r="C122" s="25">
        <v>45488</v>
      </c>
      <c r="D122" s="25">
        <v>45657</v>
      </c>
      <c r="E122" s="6" t="s">
        <v>1070</v>
      </c>
      <c r="F122" s="50" t="s">
        <v>1073</v>
      </c>
      <c r="G122" s="27">
        <v>10773.95</v>
      </c>
      <c r="H122" s="27"/>
      <c r="I122" s="10"/>
      <c r="J122" s="10"/>
      <c r="K122" s="10"/>
      <c r="L122" s="10"/>
      <c r="M122" s="27">
        <v>10773.95</v>
      </c>
      <c r="N122" s="11"/>
      <c r="O122" s="11"/>
      <c r="P122" s="11"/>
      <c r="Q122" s="27"/>
      <c r="R122" s="10"/>
      <c r="S122" s="10"/>
      <c r="T122" s="11"/>
      <c r="U122" s="10"/>
      <c r="V122" s="27">
        <v>10773.95</v>
      </c>
      <c r="W122" s="10"/>
      <c r="X122" s="10"/>
      <c r="Y122" s="11"/>
      <c r="Z122" s="10">
        <f t="shared" ref="Z122" si="96">SUM(Q122:Y122)</f>
        <v>10773.95</v>
      </c>
      <c r="AA122" s="10">
        <f t="shared" ref="AA122" si="97">G122-Z122</f>
        <v>0</v>
      </c>
      <c r="AB122" s="20"/>
    </row>
    <row r="123" spans="1:28" s="21" customFormat="1" ht="24" customHeight="1" x14ac:dyDescent="0.2">
      <c r="A123" s="7">
        <v>119</v>
      </c>
      <c r="B123" s="24" t="s">
        <v>1074</v>
      </c>
      <c r="C123" s="25">
        <v>45488</v>
      </c>
      <c r="D123" s="25">
        <v>45657</v>
      </c>
      <c r="E123" s="6" t="s">
        <v>1075</v>
      </c>
      <c r="F123" s="50" t="s">
        <v>1078</v>
      </c>
      <c r="G123" s="27">
        <v>43200</v>
      </c>
      <c r="H123" s="27"/>
      <c r="I123" s="10"/>
      <c r="J123" s="10"/>
      <c r="K123" s="10"/>
      <c r="L123" s="10"/>
      <c r="M123" s="27">
        <v>43200</v>
      </c>
      <c r="N123" s="11"/>
      <c r="O123" s="11"/>
      <c r="P123" s="11"/>
      <c r="Q123" s="27"/>
      <c r="R123" s="10"/>
      <c r="S123" s="10"/>
      <c r="T123" s="11"/>
      <c r="U123" s="10"/>
      <c r="V123" s="27">
        <v>43200</v>
      </c>
      <c r="W123" s="10"/>
      <c r="X123" s="10"/>
      <c r="Y123" s="11"/>
      <c r="Z123" s="10">
        <f t="shared" ref="Z123" si="98">SUM(Q123:Y123)</f>
        <v>43200</v>
      </c>
      <c r="AA123" s="10">
        <f t="shared" ref="AA123" si="99">G123-Z123</f>
        <v>0</v>
      </c>
      <c r="AB123" s="20"/>
    </row>
    <row r="124" spans="1:28" s="21" customFormat="1" ht="17.25" customHeight="1" x14ac:dyDescent="0.2">
      <c r="A124" s="7">
        <v>120</v>
      </c>
      <c r="B124" s="24" t="s">
        <v>1080</v>
      </c>
      <c r="C124" s="25">
        <v>45491</v>
      </c>
      <c r="D124" s="25">
        <v>45657</v>
      </c>
      <c r="E124" s="6" t="s">
        <v>101</v>
      </c>
      <c r="F124" s="17" t="s">
        <v>1081</v>
      </c>
      <c r="G124" s="27">
        <v>9400</v>
      </c>
      <c r="H124" s="27"/>
      <c r="I124" s="10"/>
      <c r="J124" s="10"/>
      <c r="K124" s="10">
        <f>4700+4700</f>
        <v>9400</v>
      </c>
      <c r="L124" s="10"/>
      <c r="M124" s="27"/>
      <c r="N124" s="11"/>
      <c r="O124" s="11"/>
      <c r="P124" s="11"/>
      <c r="Q124" s="27"/>
      <c r="R124" s="10"/>
      <c r="S124" s="10"/>
      <c r="T124" s="10">
        <f>4700+4700</f>
        <v>9400</v>
      </c>
      <c r="U124" s="10"/>
      <c r="V124" s="27"/>
      <c r="W124" s="10"/>
      <c r="X124" s="10"/>
      <c r="Y124" s="11"/>
      <c r="Z124" s="10">
        <f t="shared" ref="Z124" si="100">SUM(Q124:Y124)</f>
        <v>9400</v>
      </c>
      <c r="AA124" s="10">
        <f t="shared" ref="AA124" si="101">G124-Z124</f>
        <v>0</v>
      </c>
      <c r="AB124" s="20"/>
    </row>
    <row r="125" spans="1:28" s="21" customFormat="1" ht="66" customHeight="1" x14ac:dyDescent="0.2">
      <c r="A125" s="7">
        <v>121</v>
      </c>
      <c r="B125" s="24" t="s">
        <v>1093</v>
      </c>
      <c r="C125" s="25">
        <v>45495</v>
      </c>
      <c r="D125" s="25">
        <v>45657</v>
      </c>
      <c r="E125" s="6" t="s">
        <v>1094</v>
      </c>
      <c r="F125" s="17" t="s">
        <v>1095</v>
      </c>
      <c r="G125" s="27">
        <v>7600</v>
      </c>
      <c r="H125" s="27">
        <v>7600</v>
      </c>
      <c r="I125" s="10"/>
      <c r="J125" s="10"/>
      <c r="K125" s="10"/>
      <c r="L125" s="10"/>
      <c r="M125" s="27"/>
      <c r="N125" s="11"/>
      <c r="O125" s="11"/>
      <c r="P125" s="11"/>
      <c r="Q125" s="27">
        <v>7600</v>
      </c>
      <c r="R125" s="10"/>
      <c r="S125" s="10"/>
      <c r="T125" s="10"/>
      <c r="U125" s="10"/>
      <c r="V125" s="27"/>
      <c r="W125" s="10"/>
      <c r="X125" s="10"/>
      <c r="Y125" s="11"/>
      <c r="Z125" s="10">
        <f t="shared" ref="Z125" si="102">SUM(Q125:Y125)</f>
        <v>7600</v>
      </c>
      <c r="AA125" s="10">
        <f t="shared" ref="AA125" si="103">G125-Z125</f>
        <v>0</v>
      </c>
      <c r="AB125" s="20"/>
    </row>
    <row r="126" spans="1:28" s="21" customFormat="1" ht="64.5" customHeight="1" x14ac:dyDescent="0.2">
      <c r="A126" s="7">
        <v>122</v>
      </c>
      <c r="B126" s="24" t="s">
        <v>182</v>
      </c>
      <c r="C126" s="13">
        <v>45418</v>
      </c>
      <c r="D126" s="13">
        <v>45657</v>
      </c>
      <c r="E126" s="6" t="s">
        <v>1265</v>
      </c>
      <c r="F126" s="6" t="s">
        <v>1162</v>
      </c>
      <c r="G126" s="10">
        <f>131555.79-27439.48</f>
        <v>104116.31000000001</v>
      </c>
      <c r="H126" s="27"/>
      <c r="I126" s="10"/>
      <c r="J126" s="10"/>
      <c r="K126" s="10"/>
      <c r="L126" s="10"/>
      <c r="M126" s="10">
        <f>131555.79-27439.48</f>
        <v>104116.31000000001</v>
      </c>
      <c r="N126" s="11"/>
      <c r="O126" s="11"/>
      <c r="P126" s="11"/>
      <c r="Q126" s="27"/>
      <c r="R126" s="10"/>
      <c r="S126" s="10"/>
      <c r="T126" s="10"/>
      <c r="U126" s="10"/>
      <c r="V126" s="10">
        <v>104116.31</v>
      </c>
      <c r="W126" s="10"/>
      <c r="X126" s="10"/>
      <c r="Y126" s="11"/>
      <c r="Z126" s="10">
        <f t="shared" ref="Z126" si="104">SUM(Q126:Y126)</f>
        <v>104116.31</v>
      </c>
      <c r="AA126" s="10">
        <f t="shared" ref="AA126" si="105">G126-Z126</f>
        <v>0</v>
      </c>
      <c r="AB126" s="20"/>
    </row>
    <row r="127" spans="1:28" s="21" customFormat="1" ht="41.25" customHeight="1" x14ac:dyDescent="0.2">
      <c r="A127" s="7">
        <v>123</v>
      </c>
      <c r="B127" s="24" t="s">
        <v>105</v>
      </c>
      <c r="C127" s="13">
        <v>45471</v>
      </c>
      <c r="D127" s="13">
        <v>45657</v>
      </c>
      <c r="E127" s="17" t="s">
        <v>261</v>
      </c>
      <c r="F127" s="17" t="s">
        <v>1175</v>
      </c>
      <c r="G127" s="10">
        <v>54625.26</v>
      </c>
      <c r="H127" s="27"/>
      <c r="I127" s="10"/>
      <c r="J127" s="10"/>
      <c r="K127" s="10"/>
      <c r="L127" s="10"/>
      <c r="M127" s="10">
        <v>54625.26</v>
      </c>
      <c r="N127" s="11"/>
      <c r="O127" s="11"/>
      <c r="P127" s="11"/>
      <c r="Q127" s="27"/>
      <c r="R127" s="10"/>
      <c r="S127" s="10"/>
      <c r="T127" s="10"/>
      <c r="U127" s="10"/>
      <c r="V127" s="10">
        <f>18208.42+18208.42+18208.42</f>
        <v>54625.259999999995</v>
      </c>
      <c r="W127" s="10"/>
      <c r="X127" s="10"/>
      <c r="Y127" s="11"/>
      <c r="Z127" s="10">
        <f t="shared" ref="Z127" si="106">SUM(Q127:Y127)</f>
        <v>54625.259999999995</v>
      </c>
      <c r="AA127" s="10">
        <f t="shared" ref="AA127" si="107">G127-Z127</f>
        <v>0</v>
      </c>
      <c r="AB127" s="20"/>
    </row>
    <row r="128" spans="1:28" s="21" customFormat="1" ht="18" customHeight="1" x14ac:dyDescent="0.2">
      <c r="A128" s="7">
        <v>124</v>
      </c>
      <c r="B128" s="24" t="s">
        <v>1183</v>
      </c>
      <c r="C128" s="13">
        <v>45509</v>
      </c>
      <c r="D128" s="13" t="s">
        <v>1184</v>
      </c>
      <c r="E128" s="17" t="s">
        <v>1185</v>
      </c>
      <c r="F128" s="17" t="s">
        <v>1186</v>
      </c>
      <c r="G128" s="10">
        <v>2505</v>
      </c>
      <c r="H128" s="27"/>
      <c r="I128" s="10"/>
      <c r="J128" s="10"/>
      <c r="K128" s="10"/>
      <c r="L128" s="10">
        <v>2505</v>
      </c>
      <c r="M128" s="10"/>
      <c r="N128" s="11"/>
      <c r="O128" s="11"/>
      <c r="P128" s="11"/>
      <c r="Q128" s="27"/>
      <c r="R128" s="10"/>
      <c r="S128" s="10"/>
      <c r="T128" s="10"/>
      <c r="U128" s="10">
        <v>2505</v>
      </c>
      <c r="V128" s="10"/>
      <c r="W128" s="10"/>
      <c r="X128" s="10"/>
      <c r="Y128" s="11"/>
      <c r="Z128" s="10">
        <f t="shared" ref="Z128" si="108">SUM(Q128:Y128)</f>
        <v>2505</v>
      </c>
      <c r="AA128" s="10">
        <f t="shared" ref="AA128" si="109">G128-Z128</f>
        <v>0</v>
      </c>
      <c r="AB128" s="20"/>
    </row>
    <row r="129" spans="1:28" s="21" customFormat="1" ht="27.75" customHeight="1" x14ac:dyDescent="0.2">
      <c r="A129" s="7">
        <v>125</v>
      </c>
      <c r="B129" s="24" t="s">
        <v>1208</v>
      </c>
      <c r="C129" s="13">
        <v>45520</v>
      </c>
      <c r="D129" s="13">
        <v>45657</v>
      </c>
      <c r="E129" s="17" t="s">
        <v>196</v>
      </c>
      <c r="F129" s="17" t="s">
        <v>1209</v>
      </c>
      <c r="G129" s="10">
        <v>631.84</v>
      </c>
      <c r="H129" s="10">
        <v>631.84</v>
      </c>
      <c r="I129" s="10"/>
      <c r="J129" s="10"/>
      <c r="K129" s="10"/>
      <c r="L129" s="10"/>
      <c r="M129" s="10"/>
      <c r="N129" s="11"/>
      <c r="O129" s="11"/>
      <c r="P129" s="11"/>
      <c r="Q129" s="10">
        <v>631.84</v>
      </c>
      <c r="R129" s="10"/>
      <c r="S129" s="10"/>
      <c r="T129" s="10"/>
      <c r="U129" s="10"/>
      <c r="V129" s="10"/>
      <c r="W129" s="10"/>
      <c r="X129" s="10"/>
      <c r="Y129" s="11"/>
      <c r="Z129" s="10">
        <f t="shared" ref="Z129" si="110">SUM(Q129:Y129)</f>
        <v>631.84</v>
      </c>
      <c r="AA129" s="10">
        <f t="shared" ref="AA129" si="111">G129-Z129</f>
        <v>0</v>
      </c>
      <c r="AB129" s="20"/>
    </row>
    <row r="130" spans="1:28" s="21" customFormat="1" ht="54.75" customHeight="1" x14ac:dyDescent="0.2">
      <c r="A130" s="7">
        <v>126</v>
      </c>
      <c r="B130" s="24" t="s">
        <v>1216</v>
      </c>
      <c r="C130" s="13">
        <v>45524</v>
      </c>
      <c r="D130" s="13"/>
      <c r="E130" s="17" t="s">
        <v>472</v>
      </c>
      <c r="F130" s="17" t="s">
        <v>1217</v>
      </c>
      <c r="G130" s="10">
        <v>117.64</v>
      </c>
      <c r="H130" s="10">
        <v>117.64</v>
      </c>
      <c r="I130" s="10"/>
      <c r="J130" s="10"/>
      <c r="K130" s="10"/>
      <c r="L130" s="10"/>
      <c r="M130" s="10"/>
      <c r="N130" s="11"/>
      <c r="O130" s="11"/>
      <c r="P130" s="11"/>
      <c r="Q130" s="10">
        <v>117.64</v>
      </c>
      <c r="R130" s="10"/>
      <c r="S130" s="10"/>
      <c r="T130" s="10"/>
      <c r="U130" s="10"/>
      <c r="V130" s="10"/>
      <c r="W130" s="10"/>
      <c r="X130" s="10"/>
      <c r="Y130" s="11"/>
      <c r="Z130" s="10">
        <f t="shared" ref="Z130" si="112">SUM(Q130:Y130)</f>
        <v>117.64</v>
      </c>
      <c r="AA130" s="10">
        <f t="shared" ref="AA130" si="113">G130-Z130</f>
        <v>0</v>
      </c>
      <c r="AB130" s="20"/>
    </row>
    <row r="131" spans="1:28" s="21" customFormat="1" ht="18.75" customHeight="1" x14ac:dyDescent="0.2">
      <c r="A131" s="7">
        <v>127</v>
      </c>
      <c r="B131" s="24" t="s">
        <v>1218</v>
      </c>
      <c r="C131" s="13">
        <v>45513</v>
      </c>
      <c r="D131" s="13">
        <v>45657</v>
      </c>
      <c r="E131" s="17" t="s">
        <v>1219</v>
      </c>
      <c r="F131" s="17" t="s">
        <v>1220</v>
      </c>
      <c r="G131" s="10">
        <v>6000</v>
      </c>
      <c r="H131" s="10"/>
      <c r="I131" s="10"/>
      <c r="J131" s="10"/>
      <c r="K131" s="10"/>
      <c r="L131" s="10"/>
      <c r="M131" s="10"/>
      <c r="N131" s="11"/>
      <c r="O131" s="11"/>
      <c r="P131" s="10">
        <v>6000</v>
      </c>
      <c r="Q131" s="10"/>
      <c r="R131" s="10"/>
      <c r="S131" s="10"/>
      <c r="T131" s="10"/>
      <c r="U131" s="10"/>
      <c r="V131" s="10"/>
      <c r="W131" s="10"/>
      <c r="X131" s="10"/>
      <c r="Y131" s="10">
        <v>6000</v>
      </c>
      <c r="Z131" s="10">
        <f t="shared" ref="Z131" si="114">SUM(Q131:Y131)</f>
        <v>6000</v>
      </c>
      <c r="AA131" s="10">
        <f t="shared" ref="AA131" si="115">G131-Z131</f>
        <v>0</v>
      </c>
      <c r="AB131" s="20"/>
    </row>
    <row r="132" spans="1:28" s="21" customFormat="1" ht="55.5" customHeight="1" x14ac:dyDescent="0.2">
      <c r="A132" s="7">
        <v>128</v>
      </c>
      <c r="B132" s="24" t="s">
        <v>89</v>
      </c>
      <c r="C132" s="13">
        <v>45525</v>
      </c>
      <c r="D132" s="13">
        <v>45657</v>
      </c>
      <c r="E132" s="17" t="s">
        <v>1224</v>
      </c>
      <c r="F132" s="17" t="s">
        <v>1225</v>
      </c>
      <c r="G132" s="10">
        <v>350000</v>
      </c>
      <c r="H132" s="10"/>
      <c r="I132" s="10"/>
      <c r="J132" s="10"/>
      <c r="K132" s="10"/>
      <c r="L132" s="10"/>
      <c r="M132" s="10">
        <v>350000</v>
      </c>
      <c r="N132" s="11"/>
      <c r="O132" s="11"/>
      <c r="P132" s="10"/>
      <c r="Q132" s="10"/>
      <c r="R132" s="10"/>
      <c r="S132" s="10"/>
      <c r="T132" s="10"/>
      <c r="U132" s="10"/>
      <c r="V132" s="10">
        <v>309154.8</v>
      </c>
      <c r="W132" s="10"/>
      <c r="X132" s="10"/>
      <c r="Y132" s="10"/>
      <c r="Z132" s="10">
        <f t="shared" ref="Z132" si="116">SUM(Q132:Y132)</f>
        <v>309154.8</v>
      </c>
      <c r="AA132" s="10">
        <f t="shared" ref="AA132" si="117">G132-Z132</f>
        <v>40845.200000000012</v>
      </c>
      <c r="AB132" s="20"/>
    </row>
    <row r="133" spans="1:28" s="21" customFormat="1" ht="18" customHeight="1" x14ac:dyDescent="0.2">
      <c r="A133" s="7">
        <v>129</v>
      </c>
      <c r="B133" s="24" t="s">
        <v>1228</v>
      </c>
      <c r="C133" s="13">
        <v>45323</v>
      </c>
      <c r="D133" s="13">
        <v>45657</v>
      </c>
      <c r="E133" s="17" t="s">
        <v>1229</v>
      </c>
      <c r="F133" s="17" t="s">
        <v>1230</v>
      </c>
      <c r="G133" s="10">
        <v>49000</v>
      </c>
      <c r="H133" s="10"/>
      <c r="I133" s="10"/>
      <c r="J133" s="10"/>
      <c r="K133" s="10"/>
      <c r="L133" s="10"/>
      <c r="M133" s="10"/>
      <c r="N133" s="11"/>
      <c r="O133" s="11"/>
      <c r="P133" s="10">
        <v>12556</v>
      </c>
      <c r="Q133" s="10"/>
      <c r="R133" s="10"/>
      <c r="S133" s="10"/>
      <c r="T133" s="10"/>
      <c r="U133" s="10"/>
      <c r="V133" s="10"/>
      <c r="W133" s="10"/>
      <c r="X133" s="10"/>
      <c r="Y133" s="10">
        <v>12556</v>
      </c>
      <c r="Z133" s="10">
        <f t="shared" ref="Z133" si="118">SUM(Q133:Y133)</f>
        <v>12556</v>
      </c>
      <c r="AA133" s="10">
        <f t="shared" ref="AA133" si="119">G133-Z133</f>
        <v>36444</v>
      </c>
      <c r="AB133" s="20"/>
    </row>
    <row r="134" spans="1:28" s="21" customFormat="1" ht="28.5" customHeight="1" x14ac:dyDescent="0.2">
      <c r="A134" s="7">
        <v>130</v>
      </c>
      <c r="B134" s="24" t="s">
        <v>1231</v>
      </c>
      <c r="C134" s="13">
        <v>45355</v>
      </c>
      <c r="D134" s="13">
        <v>45657</v>
      </c>
      <c r="E134" s="17" t="s">
        <v>1232</v>
      </c>
      <c r="F134" s="17" t="s">
        <v>1233</v>
      </c>
      <c r="G134" s="10">
        <v>28980</v>
      </c>
      <c r="H134" s="10"/>
      <c r="I134" s="10"/>
      <c r="J134" s="10"/>
      <c r="K134" s="10"/>
      <c r="L134" s="10"/>
      <c r="M134" s="10"/>
      <c r="N134" s="11"/>
      <c r="O134" s="11"/>
      <c r="P134" s="10">
        <v>28980</v>
      </c>
      <c r="Q134" s="10"/>
      <c r="R134" s="10"/>
      <c r="S134" s="10"/>
      <c r="T134" s="10"/>
      <c r="U134" s="10"/>
      <c r="V134" s="10"/>
      <c r="W134" s="10"/>
      <c r="X134" s="10"/>
      <c r="Y134" s="10">
        <v>28980</v>
      </c>
      <c r="Z134" s="10">
        <f t="shared" ref="Z134" si="120">SUM(Q134:Y134)</f>
        <v>28980</v>
      </c>
      <c r="AA134" s="10">
        <f t="shared" ref="AA134" si="121">G134-Z134</f>
        <v>0</v>
      </c>
      <c r="AB134" s="20"/>
    </row>
    <row r="135" spans="1:28" s="21" customFormat="1" ht="43.5" customHeight="1" x14ac:dyDescent="0.2">
      <c r="A135" s="7">
        <v>131</v>
      </c>
      <c r="B135" s="24" t="s">
        <v>1237</v>
      </c>
      <c r="C135" s="13">
        <v>45531</v>
      </c>
      <c r="D135" s="13">
        <v>45657</v>
      </c>
      <c r="E135" s="17" t="s">
        <v>95</v>
      </c>
      <c r="F135" s="17" t="s">
        <v>1238</v>
      </c>
      <c r="G135" s="10">
        <v>3345.36</v>
      </c>
      <c r="H135" s="10"/>
      <c r="I135" s="10"/>
      <c r="J135" s="10">
        <v>3345.36</v>
      </c>
      <c r="K135" s="10"/>
      <c r="L135" s="10"/>
      <c r="M135" s="10"/>
      <c r="N135" s="11"/>
      <c r="O135" s="11"/>
      <c r="P135" s="10"/>
      <c r="Q135" s="10"/>
      <c r="R135" s="10"/>
      <c r="S135" s="10">
        <v>3345.36</v>
      </c>
      <c r="T135" s="10"/>
      <c r="U135" s="10"/>
      <c r="V135" s="10"/>
      <c r="W135" s="10"/>
      <c r="X135" s="10"/>
      <c r="Y135" s="10"/>
      <c r="Z135" s="10">
        <f t="shared" ref="Z135" si="122">SUM(Q135:Y135)</f>
        <v>3345.36</v>
      </c>
      <c r="AA135" s="10">
        <f t="shared" ref="AA135" si="123">G135-Z135</f>
        <v>0</v>
      </c>
      <c r="AB135" s="20"/>
    </row>
    <row r="136" spans="1:28" s="21" customFormat="1" ht="43.5" customHeight="1" x14ac:dyDescent="0.2">
      <c r="A136" s="7">
        <v>132</v>
      </c>
      <c r="B136" s="24" t="s">
        <v>1267</v>
      </c>
      <c r="C136" s="13">
        <v>45540</v>
      </c>
      <c r="D136" s="13"/>
      <c r="E136" s="17" t="s">
        <v>216</v>
      </c>
      <c r="F136" s="17" t="s">
        <v>1268</v>
      </c>
      <c r="G136" s="10">
        <v>3700</v>
      </c>
      <c r="H136" s="10">
        <v>3700</v>
      </c>
      <c r="I136" s="10"/>
      <c r="J136" s="10"/>
      <c r="K136" s="10"/>
      <c r="L136" s="10"/>
      <c r="M136" s="10"/>
      <c r="N136" s="11"/>
      <c r="O136" s="11"/>
      <c r="P136" s="10"/>
      <c r="Q136" s="10">
        <v>3700</v>
      </c>
      <c r="R136" s="10"/>
      <c r="S136" s="10"/>
      <c r="T136" s="10"/>
      <c r="U136" s="10"/>
      <c r="V136" s="10"/>
      <c r="W136" s="10"/>
      <c r="X136" s="10"/>
      <c r="Y136" s="10"/>
      <c r="Z136" s="10">
        <f t="shared" ref="Z136" si="124">SUM(Q136:Y136)</f>
        <v>3700</v>
      </c>
      <c r="AA136" s="10">
        <f t="shared" ref="AA136" si="125">G136-Z136</f>
        <v>0</v>
      </c>
      <c r="AB136" s="20"/>
    </row>
    <row r="137" spans="1:28" s="21" customFormat="1" ht="29.25" customHeight="1" x14ac:dyDescent="0.2">
      <c r="A137" s="7">
        <v>133</v>
      </c>
      <c r="B137" s="24" t="s">
        <v>300</v>
      </c>
      <c r="C137" s="13">
        <v>45296</v>
      </c>
      <c r="D137" s="25">
        <v>45657</v>
      </c>
      <c r="E137" s="6" t="s">
        <v>145</v>
      </c>
      <c r="F137" s="5" t="s">
        <v>1282</v>
      </c>
      <c r="G137" s="10">
        <v>99900</v>
      </c>
      <c r="H137" s="10"/>
      <c r="I137" s="10">
        <f>7550+5300+8680+5880</f>
        <v>27410</v>
      </c>
      <c r="J137" s="10"/>
      <c r="K137" s="10"/>
      <c r="L137" s="10"/>
      <c r="M137" s="10"/>
      <c r="N137" s="11"/>
      <c r="O137" s="11"/>
      <c r="P137" s="10">
        <f>10500+11100+7600</f>
        <v>29200</v>
      </c>
      <c r="Q137" s="10"/>
      <c r="R137" s="10">
        <f>7550+5300+8680+5880</f>
        <v>27410</v>
      </c>
      <c r="S137" s="10"/>
      <c r="T137" s="10"/>
      <c r="U137" s="10"/>
      <c r="V137" s="10"/>
      <c r="W137" s="10"/>
      <c r="X137" s="10"/>
      <c r="Y137" s="10">
        <f>10500+11100+7600</f>
        <v>29200</v>
      </c>
      <c r="Z137" s="10">
        <f t="shared" ref="Z137" si="126">SUM(Q137:Y137)</f>
        <v>56610</v>
      </c>
      <c r="AA137" s="10">
        <f t="shared" ref="AA137" si="127">G137-Z137</f>
        <v>43290</v>
      </c>
      <c r="AB137" s="20"/>
    </row>
    <row r="138" spans="1:28" s="21" customFormat="1" ht="29.25" customHeight="1" x14ac:dyDescent="0.2">
      <c r="A138" s="7">
        <v>134</v>
      </c>
      <c r="B138" s="24" t="s">
        <v>215</v>
      </c>
      <c r="C138" s="13">
        <v>45296</v>
      </c>
      <c r="D138" s="25">
        <v>45657</v>
      </c>
      <c r="E138" s="6" t="s">
        <v>145</v>
      </c>
      <c r="F138" s="5" t="s">
        <v>1283</v>
      </c>
      <c r="G138" s="10">
        <v>99900</v>
      </c>
      <c r="H138" s="10"/>
      <c r="I138" s="10"/>
      <c r="J138" s="10"/>
      <c r="K138" s="10"/>
      <c r="L138" s="10"/>
      <c r="M138" s="10"/>
      <c r="N138" s="11"/>
      <c r="O138" s="11"/>
      <c r="P138" s="10">
        <f>15348+15870+16760</f>
        <v>47978</v>
      </c>
      <c r="Q138" s="10"/>
      <c r="R138" s="10"/>
      <c r="S138" s="10"/>
      <c r="T138" s="10"/>
      <c r="U138" s="10"/>
      <c r="V138" s="10"/>
      <c r="W138" s="10"/>
      <c r="X138" s="10"/>
      <c r="Y138" s="10">
        <f>15348+15870+16760</f>
        <v>47978</v>
      </c>
      <c r="Z138" s="10">
        <f t="shared" ref="Z138" si="128">SUM(Q138:Y138)</f>
        <v>47978</v>
      </c>
      <c r="AA138" s="10">
        <f t="shared" ref="AA138" si="129">G138-Z138</f>
        <v>51922</v>
      </c>
      <c r="AB138" s="20"/>
    </row>
    <row r="139" spans="1:28" s="21" customFormat="1" ht="28.5" customHeight="1" x14ac:dyDescent="0.2">
      <c r="A139" s="7">
        <v>135</v>
      </c>
      <c r="B139" s="24" t="s">
        <v>1305</v>
      </c>
      <c r="C139" s="13">
        <v>45450</v>
      </c>
      <c r="D139" s="25">
        <v>45657</v>
      </c>
      <c r="E139" s="6" t="s">
        <v>323</v>
      </c>
      <c r="F139" s="5" t="s">
        <v>1306</v>
      </c>
      <c r="G139" s="10">
        <v>23900</v>
      </c>
      <c r="H139" s="10"/>
      <c r="I139" s="10"/>
      <c r="J139" s="10"/>
      <c r="K139" s="10"/>
      <c r="L139" s="10"/>
      <c r="M139" s="10"/>
      <c r="N139" s="11"/>
      <c r="O139" s="11"/>
      <c r="P139" s="10">
        <v>23900</v>
      </c>
      <c r="Q139" s="10"/>
      <c r="R139" s="10"/>
      <c r="S139" s="10"/>
      <c r="T139" s="10"/>
      <c r="U139" s="10"/>
      <c r="V139" s="10"/>
      <c r="W139" s="10"/>
      <c r="X139" s="10"/>
      <c r="Y139" s="10">
        <v>23900</v>
      </c>
      <c r="Z139" s="10">
        <f t="shared" ref="Z139" si="130">SUM(Q139:Y139)</f>
        <v>23900</v>
      </c>
      <c r="AA139" s="10">
        <f t="shared" ref="AA139" si="131">G139-Z139</f>
        <v>0</v>
      </c>
      <c r="AB139" s="20"/>
    </row>
    <row r="140" spans="1:28" s="21" customFormat="1" ht="28.5" customHeight="1" x14ac:dyDescent="0.2">
      <c r="A140" s="7">
        <v>136</v>
      </c>
      <c r="B140" s="24" t="s">
        <v>1307</v>
      </c>
      <c r="C140" s="13">
        <v>45450</v>
      </c>
      <c r="D140" s="25">
        <v>45657</v>
      </c>
      <c r="E140" s="6" t="s">
        <v>323</v>
      </c>
      <c r="F140" s="5" t="s">
        <v>1308</v>
      </c>
      <c r="G140" s="10">
        <v>5625</v>
      </c>
      <c r="H140" s="10"/>
      <c r="I140" s="10"/>
      <c r="J140" s="10"/>
      <c r="K140" s="10"/>
      <c r="L140" s="10"/>
      <c r="M140" s="10"/>
      <c r="N140" s="11"/>
      <c r="O140" s="11"/>
      <c r="P140" s="10">
        <v>5625</v>
      </c>
      <c r="Q140" s="10"/>
      <c r="R140" s="10"/>
      <c r="S140" s="10"/>
      <c r="T140" s="10"/>
      <c r="U140" s="10"/>
      <c r="V140" s="10"/>
      <c r="W140" s="10"/>
      <c r="X140" s="10"/>
      <c r="Y140" s="10">
        <v>5625</v>
      </c>
      <c r="Z140" s="10">
        <f t="shared" ref="Z140" si="132">SUM(Q140:Y140)</f>
        <v>5625</v>
      </c>
      <c r="AA140" s="10">
        <f t="shared" ref="AA140" si="133">G140-Z140</f>
        <v>0</v>
      </c>
      <c r="AB140" s="20"/>
    </row>
    <row r="141" spans="1:28" s="21" customFormat="1" ht="26.25" customHeight="1" x14ac:dyDescent="0.2">
      <c r="A141" s="7">
        <v>137</v>
      </c>
      <c r="B141" s="24" t="s">
        <v>1319</v>
      </c>
      <c r="C141" s="13">
        <v>45362</v>
      </c>
      <c r="D141" s="25">
        <v>45657</v>
      </c>
      <c r="E141" s="6" t="s">
        <v>1320</v>
      </c>
      <c r="F141" s="5" t="s">
        <v>1321</v>
      </c>
      <c r="G141" s="10">
        <v>1776</v>
      </c>
      <c r="H141" s="10"/>
      <c r="I141" s="10"/>
      <c r="J141" s="10"/>
      <c r="K141" s="10"/>
      <c r="L141" s="10"/>
      <c r="M141" s="10"/>
      <c r="N141" s="11"/>
      <c r="O141" s="11"/>
      <c r="P141" s="10">
        <v>1776</v>
      </c>
      <c r="Q141" s="10"/>
      <c r="R141" s="10"/>
      <c r="S141" s="10"/>
      <c r="T141" s="10"/>
      <c r="U141" s="10"/>
      <c r="V141" s="10"/>
      <c r="W141" s="10"/>
      <c r="X141" s="10"/>
      <c r="Y141" s="10">
        <v>1776</v>
      </c>
      <c r="Z141" s="10">
        <f t="shared" ref="Z141" si="134">SUM(Q141:Y141)</f>
        <v>1776</v>
      </c>
      <c r="AA141" s="10">
        <f t="shared" ref="AA141" si="135">G141-Z141</f>
        <v>0</v>
      </c>
      <c r="AB141" s="20"/>
    </row>
    <row r="142" spans="1:28" s="21" customFormat="1" ht="24.75" customHeight="1" x14ac:dyDescent="0.2">
      <c r="A142" s="7">
        <v>138</v>
      </c>
      <c r="B142" s="24" t="s">
        <v>1338</v>
      </c>
      <c r="C142" s="25">
        <v>45322</v>
      </c>
      <c r="D142" s="25">
        <v>45657</v>
      </c>
      <c r="E142" s="6" t="s">
        <v>177</v>
      </c>
      <c r="F142" s="17" t="s">
        <v>1340</v>
      </c>
      <c r="G142" s="27">
        <v>47952</v>
      </c>
      <c r="H142" s="10"/>
      <c r="I142" s="10"/>
      <c r="J142" s="10"/>
      <c r="K142" s="10"/>
      <c r="L142" s="10"/>
      <c r="M142" s="27"/>
      <c r="N142" s="11"/>
      <c r="O142" s="11"/>
      <c r="P142" s="11">
        <f>7992+7992</f>
        <v>15984</v>
      </c>
      <c r="Q142" s="11"/>
      <c r="R142" s="11"/>
      <c r="S142" s="11"/>
      <c r="T142" s="11"/>
      <c r="U142" s="10"/>
      <c r="V142" s="10"/>
      <c r="W142" s="10"/>
      <c r="X142" s="10"/>
      <c r="Y142" s="11">
        <f>7992+7992</f>
        <v>15984</v>
      </c>
      <c r="Z142" s="10">
        <f t="shared" ref="Z142:Z167" si="136">SUM(Q142:Y142)</f>
        <v>15984</v>
      </c>
      <c r="AA142" s="10">
        <f t="shared" ref="AA142:AA167" si="137">G142-Z142</f>
        <v>31968</v>
      </c>
      <c r="AB142" s="20"/>
    </row>
    <row r="143" spans="1:28" s="21" customFormat="1" ht="39.75" customHeight="1" x14ac:dyDescent="0.2">
      <c r="A143" s="7">
        <v>139</v>
      </c>
      <c r="B143" s="12" t="s">
        <v>1341</v>
      </c>
      <c r="C143" s="13">
        <v>45553</v>
      </c>
      <c r="D143" s="12" t="s">
        <v>42</v>
      </c>
      <c r="E143" s="6" t="s">
        <v>1342</v>
      </c>
      <c r="F143" s="6" t="s">
        <v>1343</v>
      </c>
      <c r="G143" s="27">
        <v>1840</v>
      </c>
      <c r="H143" s="27">
        <v>1840</v>
      </c>
      <c r="I143" s="10"/>
      <c r="J143" s="10"/>
      <c r="K143" s="10"/>
      <c r="L143" s="10"/>
      <c r="M143" s="27"/>
      <c r="N143" s="11"/>
      <c r="O143" s="11"/>
      <c r="P143" s="11"/>
      <c r="Q143" s="27">
        <v>1840</v>
      </c>
      <c r="R143" s="11"/>
      <c r="S143" s="11"/>
      <c r="T143" s="11"/>
      <c r="U143" s="10"/>
      <c r="V143" s="10"/>
      <c r="W143" s="10"/>
      <c r="X143" s="10"/>
      <c r="Y143" s="11"/>
      <c r="Z143" s="10">
        <f t="shared" ref="Z143" si="138">SUM(Q143:Y143)</f>
        <v>1840</v>
      </c>
      <c r="AA143" s="10">
        <f t="shared" ref="AA143" si="139">G143-Z143</f>
        <v>0</v>
      </c>
      <c r="AB143" s="20"/>
    </row>
    <row r="144" spans="1:28" s="21" customFormat="1" ht="28.5" customHeight="1" x14ac:dyDescent="0.2">
      <c r="A144" s="7">
        <v>140</v>
      </c>
      <c r="B144" s="12" t="s">
        <v>888</v>
      </c>
      <c r="C144" s="13">
        <v>45306</v>
      </c>
      <c r="D144" s="12" t="s">
        <v>42</v>
      </c>
      <c r="E144" s="6" t="s">
        <v>228</v>
      </c>
      <c r="F144" s="6" t="s">
        <v>1346</v>
      </c>
      <c r="G144" s="27">
        <v>1183000</v>
      </c>
      <c r="H144" s="27"/>
      <c r="I144" s="10"/>
      <c r="J144" s="10"/>
      <c r="K144" s="10"/>
      <c r="L144" s="10"/>
      <c r="M144" s="27"/>
      <c r="N144" s="11"/>
      <c r="O144" s="11"/>
      <c r="P144" s="11">
        <f>1430+112060+90350</f>
        <v>203840</v>
      </c>
      <c r="Q144" s="27"/>
      <c r="R144" s="11"/>
      <c r="S144" s="11"/>
      <c r="T144" s="11"/>
      <c r="U144" s="10"/>
      <c r="V144" s="10"/>
      <c r="W144" s="10"/>
      <c r="X144" s="10"/>
      <c r="Y144" s="11">
        <f>1430+112060+90350</f>
        <v>203840</v>
      </c>
      <c r="Z144" s="10">
        <f t="shared" ref="Z144" si="140">SUM(Q144:Y144)</f>
        <v>203840</v>
      </c>
      <c r="AA144" s="10">
        <f t="shared" ref="AA144" si="141">G144-Z144</f>
        <v>979160</v>
      </c>
      <c r="AB144" s="20"/>
    </row>
    <row r="145" spans="1:28" s="21" customFormat="1" ht="27.75" customHeight="1" x14ac:dyDescent="0.2">
      <c r="A145" s="7">
        <v>141</v>
      </c>
      <c r="B145" s="12" t="s">
        <v>1352</v>
      </c>
      <c r="C145" s="13">
        <v>45559</v>
      </c>
      <c r="D145" s="12" t="s">
        <v>42</v>
      </c>
      <c r="E145" s="6" t="s">
        <v>101</v>
      </c>
      <c r="F145" s="6" t="s">
        <v>1353</v>
      </c>
      <c r="G145" s="27">
        <v>5800</v>
      </c>
      <c r="H145" s="27"/>
      <c r="I145" s="10"/>
      <c r="J145" s="10"/>
      <c r="K145" s="10"/>
      <c r="L145" s="10"/>
      <c r="M145" s="27"/>
      <c r="N145" s="11"/>
      <c r="O145" s="11"/>
      <c r="P145" s="27">
        <v>5800</v>
      </c>
      <c r="Q145" s="27"/>
      <c r="R145" s="11"/>
      <c r="S145" s="11"/>
      <c r="T145" s="11"/>
      <c r="U145" s="10"/>
      <c r="V145" s="10"/>
      <c r="W145" s="10"/>
      <c r="X145" s="10"/>
      <c r="Y145" s="27">
        <v>5800</v>
      </c>
      <c r="Z145" s="10">
        <f t="shared" ref="Z145:Z150" si="142">SUM(Q145:Y145)</f>
        <v>5800</v>
      </c>
      <c r="AA145" s="10">
        <f t="shared" ref="AA145:AA150" si="143">G145-Z145</f>
        <v>0</v>
      </c>
      <c r="AB145" s="20"/>
    </row>
    <row r="146" spans="1:28" s="21" customFormat="1" ht="27.75" customHeight="1" x14ac:dyDescent="0.2">
      <c r="A146" s="7">
        <v>142</v>
      </c>
      <c r="B146" s="12" t="s">
        <v>1354</v>
      </c>
      <c r="C146" s="13">
        <v>45558</v>
      </c>
      <c r="D146" s="12" t="s">
        <v>42</v>
      </c>
      <c r="E146" s="6" t="s">
        <v>101</v>
      </c>
      <c r="F146" s="6" t="s">
        <v>1355</v>
      </c>
      <c r="G146" s="27">
        <v>6800</v>
      </c>
      <c r="H146" s="27"/>
      <c r="I146" s="10"/>
      <c r="J146" s="10"/>
      <c r="K146" s="10"/>
      <c r="L146" s="10"/>
      <c r="M146" s="27"/>
      <c r="N146" s="11"/>
      <c r="O146" s="11"/>
      <c r="P146" s="27">
        <v>6800</v>
      </c>
      <c r="Q146" s="27"/>
      <c r="R146" s="11"/>
      <c r="S146" s="11"/>
      <c r="T146" s="11"/>
      <c r="U146" s="10"/>
      <c r="V146" s="10"/>
      <c r="W146" s="10"/>
      <c r="X146" s="10"/>
      <c r="Y146" s="27">
        <v>6800</v>
      </c>
      <c r="Z146" s="10">
        <f t="shared" si="142"/>
        <v>6800</v>
      </c>
      <c r="AA146" s="10">
        <f t="shared" si="143"/>
        <v>0</v>
      </c>
      <c r="AB146" s="20"/>
    </row>
    <row r="147" spans="1:28" s="21" customFormat="1" ht="18.75" customHeight="1" x14ac:dyDescent="0.2">
      <c r="A147" s="7">
        <v>143</v>
      </c>
      <c r="B147" s="12" t="s">
        <v>1362</v>
      </c>
      <c r="C147" s="13">
        <v>45559</v>
      </c>
      <c r="D147" s="12" t="s">
        <v>42</v>
      </c>
      <c r="E147" s="6" t="s">
        <v>563</v>
      </c>
      <c r="F147" s="6" t="s">
        <v>1081</v>
      </c>
      <c r="G147" s="27">
        <v>99590</v>
      </c>
      <c r="H147" s="27"/>
      <c r="I147" s="10"/>
      <c r="J147" s="10"/>
      <c r="K147" s="10"/>
      <c r="L147" s="10"/>
      <c r="M147" s="27">
        <v>99590</v>
      </c>
      <c r="N147" s="11"/>
      <c r="O147" s="11"/>
      <c r="P147" s="27"/>
      <c r="Q147" s="27"/>
      <c r="R147" s="11"/>
      <c r="S147" s="11"/>
      <c r="T147" s="11"/>
      <c r="U147" s="10"/>
      <c r="V147" s="27">
        <v>99590</v>
      </c>
      <c r="W147" s="10"/>
      <c r="X147" s="10"/>
      <c r="Y147" s="27"/>
      <c r="Z147" s="10">
        <f t="shared" si="142"/>
        <v>99590</v>
      </c>
      <c r="AA147" s="10">
        <f t="shared" si="143"/>
        <v>0</v>
      </c>
      <c r="AB147" s="20"/>
    </row>
    <row r="148" spans="1:28" s="21" customFormat="1" ht="81" customHeight="1" x14ac:dyDescent="0.2">
      <c r="A148" s="7">
        <v>144</v>
      </c>
      <c r="B148" s="12" t="s">
        <v>1179</v>
      </c>
      <c r="C148" s="13">
        <v>45560</v>
      </c>
      <c r="D148" s="12" t="s">
        <v>42</v>
      </c>
      <c r="E148" s="6" t="s">
        <v>1380</v>
      </c>
      <c r="F148" s="6" t="s">
        <v>1381</v>
      </c>
      <c r="G148" s="27">
        <v>3847.5</v>
      </c>
      <c r="H148" s="27">
        <v>3847.5</v>
      </c>
      <c r="I148" s="10"/>
      <c r="J148" s="10"/>
      <c r="K148" s="10"/>
      <c r="L148" s="10"/>
      <c r="M148" s="27"/>
      <c r="N148" s="11"/>
      <c r="O148" s="11"/>
      <c r="P148" s="27"/>
      <c r="Q148" s="27">
        <v>3847.5</v>
      </c>
      <c r="R148" s="11"/>
      <c r="S148" s="11"/>
      <c r="T148" s="11"/>
      <c r="U148" s="10"/>
      <c r="V148" s="27"/>
      <c r="W148" s="10"/>
      <c r="X148" s="10"/>
      <c r="Y148" s="27"/>
      <c r="Z148" s="10">
        <f t="shared" si="142"/>
        <v>3847.5</v>
      </c>
      <c r="AA148" s="10">
        <f t="shared" si="143"/>
        <v>0</v>
      </c>
      <c r="AB148" s="20"/>
    </row>
    <row r="149" spans="1:28" s="21" customFormat="1" ht="66.75" customHeight="1" x14ac:dyDescent="0.2">
      <c r="A149" s="7">
        <v>145</v>
      </c>
      <c r="B149" s="12" t="s">
        <v>1387</v>
      </c>
      <c r="C149" s="13">
        <v>45565</v>
      </c>
      <c r="D149" s="12"/>
      <c r="E149" s="6" t="s">
        <v>472</v>
      </c>
      <c r="F149" s="6" t="s">
        <v>1388</v>
      </c>
      <c r="G149" s="27">
        <v>5813</v>
      </c>
      <c r="H149" s="27">
        <v>5813</v>
      </c>
      <c r="I149" s="10"/>
      <c r="J149" s="10"/>
      <c r="K149" s="10"/>
      <c r="L149" s="10"/>
      <c r="M149" s="27"/>
      <c r="N149" s="11"/>
      <c r="O149" s="11"/>
      <c r="P149" s="27"/>
      <c r="Q149" s="27">
        <v>5813</v>
      </c>
      <c r="R149" s="11"/>
      <c r="S149" s="11"/>
      <c r="T149" s="11"/>
      <c r="U149" s="10"/>
      <c r="V149" s="27"/>
      <c r="W149" s="10"/>
      <c r="X149" s="10"/>
      <c r="Y149" s="27"/>
      <c r="Z149" s="10">
        <f t="shared" si="142"/>
        <v>5813</v>
      </c>
      <c r="AA149" s="10">
        <f t="shared" si="143"/>
        <v>0</v>
      </c>
      <c r="AB149" s="20"/>
    </row>
    <row r="150" spans="1:28" s="21" customFormat="1" ht="27" customHeight="1" x14ac:dyDescent="0.2">
      <c r="A150" s="7">
        <v>146</v>
      </c>
      <c r="B150" s="12" t="s">
        <v>1389</v>
      </c>
      <c r="C150" s="13">
        <v>45565</v>
      </c>
      <c r="D150" s="12"/>
      <c r="E150" s="6" t="s">
        <v>472</v>
      </c>
      <c r="F150" s="6" t="s">
        <v>1390</v>
      </c>
      <c r="G150" s="27">
        <v>2520</v>
      </c>
      <c r="H150" s="27">
        <v>2520</v>
      </c>
      <c r="I150" s="10"/>
      <c r="J150" s="10"/>
      <c r="K150" s="10"/>
      <c r="L150" s="10"/>
      <c r="M150" s="27"/>
      <c r="N150" s="11"/>
      <c r="O150" s="11"/>
      <c r="P150" s="27"/>
      <c r="Q150" s="27">
        <v>2520</v>
      </c>
      <c r="R150" s="11"/>
      <c r="S150" s="11"/>
      <c r="T150" s="11"/>
      <c r="U150" s="10"/>
      <c r="V150" s="27"/>
      <c r="W150" s="10"/>
      <c r="X150" s="10"/>
      <c r="Y150" s="27"/>
      <c r="Z150" s="10">
        <f t="shared" si="142"/>
        <v>2520</v>
      </c>
      <c r="AA150" s="10">
        <f t="shared" si="143"/>
        <v>0</v>
      </c>
      <c r="AB150" s="20"/>
    </row>
    <row r="151" spans="1:28" s="21" customFormat="1" ht="27" customHeight="1" x14ac:dyDescent="0.2">
      <c r="A151" s="7">
        <v>147</v>
      </c>
      <c r="B151" s="12" t="s">
        <v>1391</v>
      </c>
      <c r="C151" s="13">
        <v>45567</v>
      </c>
      <c r="D151" s="12" t="s">
        <v>42</v>
      </c>
      <c r="E151" s="6" t="s">
        <v>1392</v>
      </c>
      <c r="F151" s="6" t="s">
        <v>1393</v>
      </c>
      <c r="G151" s="27">
        <v>5566.62</v>
      </c>
      <c r="H151" s="27"/>
      <c r="I151" s="10"/>
      <c r="J151" s="10"/>
      <c r="K151" s="27">
        <v>5566.62</v>
      </c>
      <c r="L151" s="10"/>
      <c r="M151" s="27"/>
      <c r="N151" s="11"/>
      <c r="O151" s="11"/>
      <c r="P151" s="27"/>
      <c r="Q151" s="27"/>
      <c r="R151" s="11"/>
      <c r="S151" s="11"/>
      <c r="T151" s="27">
        <v>5566.62</v>
      </c>
      <c r="U151" s="10"/>
      <c r="V151" s="27"/>
      <c r="W151" s="10"/>
      <c r="X151" s="10"/>
      <c r="Y151" s="27"/>
      <c r="Z151" s="10">
        <f t="shared" ref="Z151:Z166" si="144">SUM(Q151:Y151)</f>
        <v>5566.62</v>
      </c>
      <c r="AA151" s="10">
        <f t="shared" ref="AA151:AA166" si="145">G151-Z151</f>
        <v>0</v>
      </c>
      <c r="AB151" s="20"/>
    </row>
    <row r="152" spans="1:28" s="21" customFormat="1" ht="18" customHeight="1" x14ac:dyDescent="0.2">
      <c r="A152" s="7">
        <v>148</v>
      </c>
      <c r="B152" s="12" t="s">
        <v>1396</v>
      </c>
      <c r="C152" s="13">
        <v>45476</v>
      </c>
      <c r="D152" s="12" t="s">
        <v>42</v>
      </c>
      <c r="E152" s="6" t="s">
        <v>468</v>
      </c>
      <c r="F152" s="6" t="s">
        <v>1397</v>
      </c>
      <c r="G152" s="27">
        <v>1767.3</v>
      </c>
      <c r="H152" s="27"/>
      <c r="I152" s="10"/>
      <c r="J152" s="10"/>
      <c r="K152" s="27">
        <v>1767.3</v>
      </c>
      <c r="L152" s="10"/>
      <c r="M152" s="27"/>
      <c r="N152" s="11"/>
      <c r="O152" s="11"/>
      <c r="P152" s="27"/>
      <c r="Q152" s="27"/>
      <c r="R152" s="11"/>
      <c r="S152" s="11"/>
      <c r="T152" s="27">
        <v>1767.3</v>
      </c>
      <c r="U152" s="10"/>
      <c r="V152" s="27"/>
      <c r="W152" s="10"/>
      <c r="X152" s="10"/>
      <c r="Y152" s="27"/>
      <c r="Z152" s="10">
        <f t="shared" ref="Z152" si="146">SUM(Q152:Y152)</f>
        <v>1767.3</v>
      </c>
      <c r="AA152" s="10">
        <f t="shared" ref="AA152" si="147">G152-Z152</f>
        <v>0</v>
      </c>
      <c r="AB152" s="20"/>
    </row>
    <row r="153" spans="1:28" s="21" customFormat="1" ht="27" customHeight="1" x14ac:dyDescent="0.2">
      <c r="A153" s="7">
        <v>149</v>
      </c>
      <c r="B153" s="12" t="s">
        <v>622</v>
      </c>
      <c r="C153" s="13">
        <v>45586</v>
      </c>
      <c r="D153" s="12" t="s">
        <v>42</v>
      </c>
      <c r="E153" s="6" t="s">
        <v>1070</v>
      </c>
      <c r="F153" s="6" t="s">
        <v>1402</v>
      </c>
      <c r="G153" s="27">
        <v>65690.25</v>
      </c>
      <c r="H153" s="27"/>
      <c r="I153" s="10"/>
      <c r="J153" s="10"/>
      <c r="K153" s="27"/>
      <c r="L153" s="10"/>
      <c r="M153" s="27">
        <v>65690.25</v>
      </c>
      <c r="N153" s="11"/>
      <c r="O153" s="11"/>
      <c r="P153" s="27"/>
      <c r="Q153" s="27"/>
      <c r="R153" s="11"/>
      <c r="S153" s="11"/>
      <c r="T153" s="27"/>
      <c r="U153" s="10"/>
      <c r="V153" s="27">
        <v>65690.25</v>
      </c>
      <c r="W153" s="10"/>
      <c r="X153" s="10"/>
      <c r="Y153" s="27"/>
      <c r="Z153" s="10">
        <f t="shared" ref="Z153" si="148">SUM(Q153:Y153)</f>
        <v>65690.25</v>
      </c>
      <c r="AA153" s="10">
        <f t="shared" ref="AA153" si="149">G153-Z153</f>
        <v>0</v>
      </c>
      <c r="AB153" s="20"/>
    </row>
    <row r="154" spans="1:28" s="21" customFormat="1" ht="54.75" customHeight="1" x14ac:dyDescent="0.2">
      <c r="A154" s="7">
        <v>150</v>
      </c>
      <c r="B154" s="12" t="s">
        <v>568</v>
      </c>
      <c r="C154" s="13">
        <v>45565</v>
      </c>
      <c r="D154" s="12" t="s">
        <v>42</v>
      </c>
      <c r="E154" s="6" t="s">
        <v>1001</v>
      </c>
      <c r="F154" s="6" t="s">
        <v>1403</v>
      </c>
      <c r="G154" s="27">
        <v>2103.34</v>
      </c>
      <c r="H154" s="27">
        <v>2103.34</v>
      </c>
      <c r="I154" s="10"/>
      <c r="J154" s="10"/>
      <c r="K154" s="27"/>
      <c r="L154" s="10"/>
      <c r="M154" s="27"/>
      <c r="N154" s="11"/>
      <c r="O154" s="11"/>
      <c r="P154" s="27"/>
      <c r="Q154" s="27">
        <v>2103.34</v>
      </c>
      <c r="R154" s="11"/>
      <c r="S154" s="11"/>
      <c r="T154" s="27"/>
      <c r="U154" s="10"/>
      <c r="V154" s="27"/>
      <c r="W154" s="10"/>
      <c r="X154" s="10"/>
      <c r="Y154" s="27"/>
      <c r="Z154" s="10">
        <f t="shared" ref="Z154" si="150">SUM(Q154:Y154)</f>
        <v>2103.34</v>
      </c>
      <c r="AA154" s="10">
        <f t="shared" ref="AA154" si="151">G154-Z154</f>
        <v>0</v>
      </c>
      <c r="AB154" s="20"/>
    </row>
    <row r="155" spans="1:28" s="21" customFormat="1" ht="54.75" customHeight="1" x14ac:dyDescent="0.2">
      <c r="A155" s="7">
        <v>151</v>
      </c>
      <c r="B155" s="12" t="s">
        <v>1415</v>
      </c>
      <c r="C155" s="13">
        <v>45589</v>
      </c>
      <c r="D155" s="12"/>
      <c r="E155" s="6" t="s">
        <v>1416</v>
      </c>
      <c r="F155" s="6" t="s">
        <v>1417</v>
      </c>
      <c r="G155" s="27">
        <v>1386</v>
      </c>
      <c r="H155" s="27">
        <v>1386</v>
      </c>
      <c r="I155" s="10"/>
      <c r="J155" s="10"/>
      <c r="K155" s="27"/>
      <c r="L155" s="10"/>
      <c r="M155" s="27"/>
      <c r="N155" s="11"/>
      <c r="O155" s="11"/>
      <c r="P155" s="27"/>
      <c r="Q155" s="27">
        <v>1386</v>
      </c>
      <c r="R155" s="11"/>
      <c r="S155" s="11"/>
      <c r="T155" s="27"/>
      <c r="U155" s="10"/>
      <c r="V155" s="27"/>
      <c r="W155" s="10"/>
      <c r="X155" s="10"/>
      <c r="Y155" s="27"/>
      <c r="Z155" s="10">
        <f t="shared" ref="Z155" si="152">SUM(Q155:Y155)</f>
        <v>1386</v>
      </c>
      <c r="AA155" s="10">
        <f t="shared" ref="AA155" si="153">G155-Z155</f>
        <v>0</v>
      </c>
      <c r="AB155" s="20"/>
    </row>
    <row r="156" spans="1:28" s="21" customFormat="1" ht="25.5" customHeight="1" x14ac:dyDescent="0.2">
      <c r="A156" s="7">
        <v>152</v>
      </c>
      <c r="B156" s="12" t="s">
        <v>1418</v>
      </c>
      <c r="C156" s="13">
        <v>45566</v>
      </c>
      <c r="D156" s="12" t="s">
        <v>42</v>
      </c>
      <c r="E156" s="6" t="s">
        <v>1419</v>
      </c>
      <c r="F156" s="5" t="s">
        <v>541</v>
      </c>
      <c r="G156" s="27">
        <v>1085000</v>
      </c>
      <c r="H156" s="27"/>
      <c r="I156" s="10"/>
      <c r="J156" s="10"/>
      <c r="K156" s="27"/>
      <c r="L156" s="10"/>
      <c r="M156" s="27"/>
      <c r="N156" s="11"/>
      <c r="O156" s="11"/>
      <c r="P156" s="27">
        <f>165730.35+146972.1</f>
        <v>312702.45</v>
      </c>
      <c r="Q156" s="27"/>
      <c r="R156" s="11"/>
      <c r="S156" s="11"/>
      <c r="T156" s="27"/>
      <c r="U156" s="10"/>
      <c r="V156" s="27"/>
      <c r="W156" s="10"/>
      <c r="X156" s="10"/>
      <c r="Y156" s="27">
        <f>165730.35+146972.1</f>
        <v>312702.45</v>
      </c>
      <c r="Z156" s="10">
        <f t="shared" ref="Z156" si="154">SUM(Q156:Y156)</f>
        <v>312702.45</v>
      </c>
      <c r="AA156" s="10">
        <f t="shared" ref="AA156" si="155">G156-Z156</f>
        <v>772297.55</v>
      </c>
      <c r="AB156" s="20"/>
    </row>
    <row r="157" spans="1:28" s="21" customFormat="1" ht="41.25" customHeight="1" x14ac:dyDescent="0.2">
      <c r="A157" s="7">
        <v>153</v>
      </c>
      <c r="B157" s="12" t="s">
        <v>1421</v>
      </c>
      <c r="C157" s="13">
        <v>45474</v>
      </c>
      <c r="D157" s="12" t="s">
        <v>42</v>
      </c>
      <c r="E157" s="6" t="s">
        <v>1423</v>
      </c>
      <c r="F157" s="5" t="s">
        <v>1425</v>
      </c>
      <c r="G157" s="27">
        <v>2696500</v>
      </c>
      <c r="H157" s="27"/>
      <c r="I157" s="10"/>
      <c r="J157" s="10"/>
      <c r="K157" s="27"/>
      <c r="L157" s="10"/>
      <c r="M157" s="27"/>
      <c r="N157" s="11"/>
      <c r="O157" s="11"/>
      <c r="P157" s="27"/>
      <c r="Q157" s="27"/>
      <c r="R157" s="11"/>
      <c r="S157" s="11"/>
      <c r="T157" s="27"/>
      <c r="U157" s="10"/>
      <c r="V157" s="27"/>
      <c r="W157" s="10"/>
      <c r="X157" s="10"/>
      <c r="Y157" s="27"/>
      <c r="Z157" s="10">
        <f t="shared" ref="Z157" si="156">SUM(Q157:Y157)</f>
        <v>0</v>
      </c>
      <c r="AA157" s="10">
        <f t="shared" ref="AA157" si="157">G157-Z157</f>
        <v>2696500</v>
      </c>
      <c r="AB157" s="20"/>
    </row>
    <row r="158" spans="1:28" s="21" customFormat="1" ht="40.5" customHeight="1" x14ac:dyDescent="0.2">
      <c r="A158" s="7">
        <v>154</v>
      </c>
      <c r="B158" s="12" t="s">
        <v>304</v>
      </c>
      <c r="C158" s="13">
        <v>45574</v>
      </c>
      <c r="D158" s="12" t="s">
        <v>42</v>
      </c>
      <c r="E158" s="6" t="s">
        <v>1424</v>
      </c>
      <c r="F158" s="5" t="s">
        <v>592</v>
      </c>
      <c r="G158" s="27">
        <v>14800</v>
      </c>
      <c r="H158" s="27"/>
      <c r="I158" s="10"/>
      <c r="J158" s="10"/>
      <c r="K158" s="27"/>
      <c r="L158" s="10"/>
      <c r="M158" s="27"/>
      <c r="N158" s="11"/>
      <c r="O158" s="11"/>
      <c r="P158" s="27">
        <v>14800</v>
      </c>
      <c r="Q158" s="27"/>
      <c r="R158" s="11"/>
      <c r="S158" s="11"/>
      <c r="T158" s="27"/>
      <c r="U158" s="10"/>
      <c r="V158" s="27"/>
      <c r="W158" s="10"/>
      <c r="X158" s="10"/>
      <c r="Y158" s="27">
        <v>14800</v>
      </c>
      <c r="Z158" s="10">
        <f t="shared" ref="Z158" si="158">SUM(Q158:Y158)</f>
        <v>14800</v>
      </c>
      <c r="AA158" s="10">
        <f t="shared" ref="AA158" si="159">G158-Z158</f>
        <v>0</v>
      </c>
      <c r="AB158" s="20"/>
    </row>
    <row r="159" spans="1:28" s="21" customFormat="1" ht="40.5" customHeight="1" x14ac:dyDescent="0.2">
      <c r="A159" s="7">
        <v>155</v>
      </c>
      <c r="B159" s="12" t="s">
        <v>1426</v>
      </c>
      <c r="C159" s="13">
        <v>45447</v>
      </c>
      <c r="D159" s="12" t="s">
        <v>42</v>
      </c>
      <c r="E159" s="6" t="s">
        <v>1422</v>
      </c>
      <c r="F159" s="5" t="s">
        <v>1425</v>
      </c>
      <c r="G159" s="27">
        <v>49900</v>
      </c>
      <c r="H159" s="27"/>
      <c r="I159" s="10"/>
      <c r="J159" s="10"/>
      <c r="K159" s="27"/>
      <c r="L159" s="10"/>
      <c r="M159" s="27"/>
      <c r="N159" s="11"/>
      <c r="O159" s="11"/>
      <c r="P159" s="27">
        <v>49600</v>
      </c>
      <c r="Q159" s="27"/>
      <c r="R159" s="11"/>
      <c r="S159" s="11"/>
      <c r="T159" s="27"/>
      <c r="U159" s="10"/>
      <c r="V159" s="27"/>
      <c r="W159" s="10"/>
      <c r="X159" s="10"/>
      <c r="Y159" s="27">
        <v>49600</v>
      </c>
      <c r="Z159" s="10">
        <f t="shared" ref="Z159" si="160">SUM(Q159:Y159)</f>
        <v>49600</v>
      </c>
      <c r="AA159" s="10">
        <f t="shared" ref="AA159" si="161">G159-Z159</f>
        <v>300</v>
      </c>
      <c r="AB159" s="20"/>
    </row>
    <row r="160" spans="1:28" s="21" customFormat="1" ht="40.5" customHeight="1" x14ac:dyDescent="0.2">
      <c r="A160" s="7">
        <v>156</v>
      </c>
      <c r="B160" s="12" t="s">
        <v>1427</v>
      </c>
      <c r="C160" s="13">
        <v>45454</v>
      </c>
      <c r="D160" s="12" t="s">
        <v>42</v>
      </c>
      <c r="E160" s="6" t="s">
        <v>1422</v>
      </c>
      <c r="F160" s="5" t="s">
        <v>1425</v>
      </c>
      <c r="G160" s="27">
        <v>49000</v>
      </c>
      <c r="H160" s="27"/>
      <c r="I160" s="10"/>
      <c r="J160" s="10"/>
      <c r="K160" s="27"/>
      <c r="L160" s="10"/>
      <c r="M160" s="27"/>
      <c r="N160" s="11"/>
      <c r="O160" s="11"/>
      <c r="P160" s="27">
        <v>48900</v>
      </c>
      <c r="Q160" s="27"/>
      <c r="R160" s="11"/>
      <c r="S160" s="11"/>
      <c r="T160" s="27"/>
      <c r="U160" s="10"/>
      <c r="V160" s="27"/>
      <c r="W160" s="10"/>
      <c r="X160" s="10"/>
      <c r="Y160" s="27">
        <v>48900</v>
      </c>
      <c r="Z160" s="10">
        <f t="shared" ref="Z160" si="162">SUM(Q160:Y160)</f>
        <v>48900</v>
      </c>
      <c r="AA160" s="10">
        <f t="shared" ref="AA160" si="163">G160-Z160</f>
        <v>100</v>
      </c>
      <c r="AB160" s="20"/>
    </row>
    <row r="161" spans="1:28" s="21" customFormat="1" ht="26.25" customHeight="1" x14ac:dyDescent="0.2">
      <c r="A161" s="7">
        <v>157</v>
      </c>
      <c r="B161" s="12" t="s">
        <v>1431</v>
      </c>
      <c r="C161" s="13">
        <v>45462</v>
      </c>
      <c r="D161" s="12" t="s">
        <v>42</v>
      </c>
      <c r="E161" s="6" t="s">
        <v>1432</v>
      </c>
      <c r="F161" s="37" t="s">
        <v>347</v>
      </c>
      <c r="G161" s="27">
        <v>26064</v>
      </c>
      <c r="H161" s="27"/>
      <c r="I161" s="10"/>
      <c r="J161" s="10"/>
      <c r="K161" s="27"/>
      <c r="L161" s="10"/>
      <c r="M161" s="27"/>
      <c r="N161" s="11"/>
      <c r="O161" s="11"/>
      <c r="P161" s="27">
        <v>13032</v>
      </c>
      <c r="Q161" s="27"/>
      <c r="R161" s="11"/>
      <c r="S161" s="11"/>
      <c r="T161" s="27"/>
      <c r="U161" s="10"/>
      <c r="V161" s="27"/>
      <c r="W161" s="10"/>
      <c r="X161" s="10"/>
      <c r="Y161" s="27">
        <v>13032</v>
      </c>
      <c r="Z161" s="10">
        <f t="shared" ref="Z161" si="164">SUM(Q161:Y161)</f>
        <v>13032</v>
      </c>
      <c r="AA161" s="10">
        <f t="shared" ref="AA161" si="165">G161-Z161</f>
        <v>13032</v>
      </c>
      <c r="AB161" s="20"/>
    </row>
    <row r="162" spans="1:28" s="21" customFormat="1" ht="26.25" customHeight="1" x14ac:dyDescent="0.2">
      <c r="A162" s="7">
        <v>158</v>
      </c>
      <c r="B162" s="22" t="s">
        <v>1437</v>
      </c>
      <c r="C162" s="23">
        <v>45568</v>
      </c>
      <c r="D162" s="22" t="s">
        <v>42</v>
      </c>
      <c r="E162" s="6" t="s">
        <v>1439</v>
      </c>
      <c r="F162" s="60" t="s">
        <v>1438</v>
      </c>
      <c r="G162" s="26"/>
      <c r="H162" s="27"/>
      <c r="I162" s="10"/>
      <c r="J162" s="10">
        <v>960</v>
      </c>
      <c r="K162" s="27"/>
      <c r="L162" s="10"/>
      <c r="M162" s="27"/>
      <c r="N162" s="11"/>
      <c r="O162" s="11"/>
      <c r="P162" s="27"/>
      <c r="Q162" s="27"/>
      <c r="R162" s="11"/>
      <c r="S162" s="10">
        <v>960</v>
      </c>
      <c r="T162" s="27"/>
      <c r="U162" s="10"/>
      <c r="V162" s="27"/>
      <c r="W162" s="10"/>
      <c r="X162" s="10"/>
      <c r="Y162" s="27"/>
      <c r="Z162" s="10">
        <f t="shared" ref="Z162" si="166">SUM(Q162:Y162)</f>
        <v>960</v>
      </c>
      <c r="AA162" s="16">
        <f t="shared" ref="AA162" si="167">G162-Z162</f>
        <v>-960</v>
      </c>
      <c r="AB162" s="20"/>
    </row>
    <row r="163" spans="1:28" s="21" customFormat="1" ht="56.25" customHeight="1" x14ac:dyDescent="0.2">
      <c r="A163" s="7">
        <v>159</v>
      </c>
      <c r="B163" s="24" t="s">
        <v>1459</v>
      </c>
      <c r="C163" s="25">
        <v>45603</v>
      </c>
      <c r="D163" s="24"/>
      <c r="E163" s="6" t="s">
        <v>1460</v>
      </c>
      <c r="F163" s="17" t="s">
        <v>1461</v>
      </c>
      <c r="G163" s="27">
        <v>8560</v>
      </c>
      <c r="H163" s="27">
        <v>8560</v>
      </c>
      <c r="I163" s="10"/>
      <c r="J163" s="10"/>
      <c r="K163" s="27"/>
      <c r="L163" s="10"/>
      <c r="M163" s="27"/>
      <c r="N163" s="11"/>
      <c r="O163" s="11"/>
      <c r="P163" s="27"/>
      <c r="Q163" s="27">
        <v>8560</v>
      </c>
      <c r="R163" s="11"/>
      <c r="S163" s="10"/>
      <c r="T163" s="27"/>
      <c r="U163" s="10"/>
      <c r="V163" s="27"/>
      <c r="W163" s="10"/>
      <c r="X163" s="10"/>
      <c r="Y163" s="27"/>
      <c r="Z163" s="10">
        <f t="shared" ref="Z163" si="168">SUM(Q163:Y163)</f>
        <v>8560</v>
      </c>
      <c r="AA163" s="10">
        <f t="shared" ref="AA163" si="169">G163-Z163</f>
        <v>0</v>
      </c>
      <c r="AB163" s="20"/>
    </row>
    <row r="164" spans="1:28" s="21" customFormat="1" ht="16.5" customHeight="1" x14ac:dyDescent="0.2">
      <c r="A164" s="7">
        <v>160</v>
      </c>
      <c r="B164" s="24" t="s">
        <v>1471</v>
      </c>
      <c r="C164" s="25">
        <v>45568</v>
      </c>
      <c r="D164" s="24" t="s">
        <v>42</v>
      </c>
      <c r="E164" s="6" t="s">
        <v>174</v>
      </c>
      <c r="F164" s="17" t="s">
        <v>956</v>
      </c>
      <c r="G164" s="27">
        <v>15672</v>
      </c>
      <c r="H164" s="27">
        <v>15672</v>
      </c>
      <c r="I164" s="10"/>
      <c r="J164" s="10"/>
      <c r="K164" s="27"/>
      <c r="L164" s="10"/>
      <c r="M164" s="27"/>
      <c r="N164" s="11"/>
      <c r="O164" s="11"/>
      <c r="P164" s="27"/>
      <c r="Q164" s="27">
        <v>15672</v>
      </c>
      <c r="R164" s="11"/>
      <c r="S164" s="10"/>
      <c r="T164" s="27"/>
      <c r="U164" s="10"/>
      <c r="V164" s="27"/>
      <c r="W164" s="10"/>
      <c r="X164" s="10"/>
      <c r="Y164" s="27"/>
      <c r="Z164" s="10">
        <f t="shared" ref="Z164" si="170">SUM(Q164:Y164)</f>
        <v>15672</v>
      </c>
      <c r="AA164" s="10">
        <f t="shared" ref="AA164" si="171">G164-Z164</f>
        <v>0</v>
      </c>
      <c r="AB164" s="20"/>
    </row>
    <row r="165" spans="1:28" s="21" customFormat="1" ht="28.5" customHeight="1" x14ac:dyDescent="0.2">
      <c r="A165" s="7">
        <v>161</v>
      </c>
      <c r="B165" s="24" t="s">
        <v>983</v>
      </c>
      <c r="C165" s="25">
        <v>45603</v>
      </c>
      <c r="D165" s="24" t="s">
        <v>42</v>
      </c>
      <c r="E165" s="6" t="s">
        <v>247</v>
      </c>
      <c r="F165" s="17" t="s">
        <v>248</v>
      </c>
      <c r="G165" s="27">
        <v>32339.23</v>
      </c>
      <c r="H165" s="27"/>
      <c r="I165" s="10"/>
      <c r="J165" s="10"/>
      <c r="K165" s="27"/>
      <c r="L165" s="10"/>
      <c r="M165" s="27"/>
      <c r="N165" s="11"/>
      <c r="O165" s="11"/>
      <c r="P165" s="27">
        <f>11413.67+20925.56</f>
        <v>32339.230000000003</v>
      </c>
      <c r="Q165" s="27"/>
      <c r="R165" s="11"/>
      <c r="S165" s="10"/>
      <c r="T165" s="27"/>
      <c r="U165" s="10"/>
      <c r="V165" s="27"/>
      <c r="W165" s="10"/>
      <c r="X165" s="10"/>
      <c r="Y165" s="27">
        <f>11413.67+20925.56</f>
        <v>32339.230000000003</v>
      </c>
      <c r="Z165" s="10">
        <f t="shared" ref="Z165" si="172">SUM(Q165:Y165)</f>
        <v>32339.230000000003</v>
      </c>
      <c r="AA165" s="10">
        <f t="shared" ref="AA165" si="173">G165-Z165</f>
        <v>0</v>
      </c>
      <c r="AB165" s="20"/>
    </row>
    <row r="166" spans="1:28" s="21" customFormat="1" ht="24" customHeight="1" x14ac:dyDescent="0.2">
      <c r="A166" s="7"/>
      <c r="B166" s="24"/>
      <c r="C166" s="25"/>
      <c r="D166" s="25"/>
      <c r="E166" s="6"/>
      <c r="F166" s="17"/>
      <c r="G166" s="27"/>
      <c r="H166" s="10"/>
      <c r="I166" s="10"/>
      <c r="J166" s="10"/>
      <c r="K166" s="10"/>
      <c r="L166" s="10"/>
      <c r="M166" s="27"/>
      <c r="N166" s="11"/>
      <c r="O166" s="11"/>
      <c r="P166" s="11"/>
      <c r="Q166" s="11"/>
      <c r="R166" s="11"/>
      <c r="S166" s="11"/>
      <c r="T166" s="11"/>
      <c r="U166" s="10"/>
      <c r="V166" s="10"/>
      <c r="W166" s="10"/>
      <c r="X166" s="10"/>
      <c r="Y166" s="11"/>
      <c r="Z166" s="10">
        <f t="shared" si="144"/>
        <v>0</v>
      </c>
      <c r="AA166" s="10">
        <f t="shared" si="145"/>
        <v>0</v>
      </c>
      <c r="AB166" s="20"/>
    </row>
    <row r="167" spans="1:28" s="21" customFormat="1" ht="12.75" x14ac:dyDescent="0.2">
      <c r="A167" s="7"/>
      <c r="B167" s="7"/>
      <c r="C167" s="9"/>
      <c r="D167" s="9"/>
      <c r="E167" s="5"/>
      <c r="F167" s="5"/>
      <c r="G167" s="10"/>
      <c r="H167" s="10" t="s">
        <v>138</v>
      </c>
      <c r="I167" s="10"/>
      <c r="J167" s="10"/>
      <c r="K167" s="10"/>
      <c r="L167" s="10"/>
      <c r="M167" s="11"/>
      <c r="N167" s="11"/>
      <c r="O167" s="11"/>
      <c r="P167" s="11"/>
      <c r="Q167" s="11"/>
      <c r="R167" s="11"/>
      <c r="S167" s="11"/>
      <c r="T167" s="11"/>
      <c r="U167" s="11"/>
      <c r="V167" s="10"/>
      <c r="W167" s="10"/>
      <c r="X167" s="10"/>
      <c r="Y167" s="10"/>
      <c r="Z167" s="10">
        <f t="shared" si="136"/>
        <v>0</v>
      </c>
      <c r="AA167" s="10">
        <f t="shared" si="137"/>
        <v>0</v>
      </c>
      <c r="AB167" s="20"/>
    </row>
    <row r="168" spans="1:28" s="21" customFormat="1" ht="15.75" customHeight="1" x14ac:dyDescent="0.2">
      <c r="A168" s="62" t="s">
        <v>17</v>
      </c>
      <c r="B168" s="62"/>
      <c r="C168" s="62"/>
      <c r="D168" s="62"/>
      <c r="E168" s="62"/>
      <c r="F168" s="62"/>
      <c r="G168" s="16">
        <f t="shared" ref="G168:AA168" si="174">SUM(G5:G167)</f>
        <v>21206397.240000002</v>
      </c>
      <c r="H168" s="16">
        <f t="shared" si="174"/>
        <v>676264.97</v>
      </c>
      <c r="I168" s="16">
        <f t="shared" si="174"/>
        <v>519951.25</v>
      </c>
      <c r="J168" s="16"/>
      <c r="K168" s="16">
        <f t="shared" si="174"/>
        <v>16733.919999999998</v>
      </c>
      <c r="L168" s="16">
        <f t="shared" si="174"/>
        <v>36706</v>
      </c>
      <c r="M168" s="16">
        <f t="shared" si="174"/>
        <v>1458826.9300000002</v>
      </c>
      <c r="N168" s="16">
        <f t="shared" si="174"/>
        <v>406129.2</v>
      </c>
      <c r="O168" s="16">
        <f t="shared" si="174"/>
        <v>0</v>
      </c>
      <c r="P168" s="16">
        <f t="shared" si="174"/>
        <v>9529361.0399999991</v>
      </c>
      <c r="Q168" s="16">
        <f t="shared" si="174"/>
        <v>676264.97</v>
      </c>
      <c r="R168" s="16">
        <f t="shared" si="174"/>
        <v>519951.25</v>
      </c>
      <c r="S168" s="16"/>
      <c r="T168" s="16">
        <f t="shared" si="174"/>
        <v>16733.919999999998</v>
      </c>
      <c r="U168" s="16">
        <f t="shared" si="174"/>
        <v>36706</v>
      </c>
      <c r="V168" s="16">
        <f t="shared" si="174"/>
        <v>1412530.9300000002</v>
      </c>
      <c r="W168" s="16">
        <f t="shared" si="174"/>
        <v>0</v>
      </c>
      <c r="X168" s="16">
        <f t="shared" si="174"/>
        <v>0</v>
      </c>
      <c r="Y168" s="16">
        <f t="shared" si="174"/>
        <v>9529361.0399999991</v>
      </c>
      <c r="Z168" s="16">
        <f t="shared" si="174"/>
        <v>12324718.659999996</v>
      </c>
      <c r="AA168" s="16">
        <f t="shared" si="174"/>
        <v>8881678.5800000001</v>
      </c>
      <c r="AB168" s="20"/>
    </row>
  </sheetData>
  <mergeCells count="31">
    <mergeCell ref="F1:F3"/>
    <mergeCell ref="A1:A3"/>
    <mergeCell ref="B1:B3"/>
    <mergeCell ref="C1:C3"/>
    <mergeCell ref="D1:D3"/>
    <mergeCell ref="E1:E3"/>
    <mergeCell ref="Z1:Z3"/>
    <mergeCell ref="AA1:AA3"/>
    <mergeCell ref="H2:H3"/>
    <mergeCell ref="I2:I3"/>
    <mergeCell ref="K2:K3"/>
    <mergeCell ref="L2:L3"/>
    <mergeCell ref="M2:M3"/>
    <mergeCell ref="J2:J3"/>
    <mergeCell ref="S2:S3"/>
    <mergeCell ref="A4:AA4"/>
    <mergeCell ref="A168:F168"/>
    <mergeCell ref="U2:U3"/>
    <mergeCell ref="V2:V3"/>
    <mergeCell ref="W2:W3"/>
    <mergeCell ref="X2:X3"/>
    <mergeCell ref="Y2:Y3"/>
    <mergeCell ref="N2:N3"/>
    <mergeCell ref="O2:O3"/>
    <mergeCell ref="P2:P3"/>
    <mergeCell ref="Q2:Q3"/>
    <mergeCell ref="R2:R3"/>
    <mergeCell ref="T2:T3"/>
    <mergeCell ref="G1:G3"/>
    <mergeCell ref="H1:P1"/>
    <mergeCell ref="Q1:Y1"/>
  </mergeCells>
  <pageMargins left="0.19685039370078741" right="0.19685039370078741" top="0.19685039370078741" bottom="0.19685039370078741" header="0.31496062992125984" footer="0.31496062992125984"/>
  <pageSetup paperSize="9" scale="43" fitToHeight="0" orientation="landscape" horizontalDpi="4294967293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C9C8E-4522-42F8-A265-DB7750A19C32}">
  <sheetPr>
    <pageSetUpPr fitToPage="1"/>
  </sheetPr>
  <dimension ref="A1:Z11"/>
  <sheetViews>
    <sheetView zoomScale="75" zoomScaleNormal="75" workbookViewId="0">
      <pane xSplit="14" ySplit="3" topLeftCell="O4" activePane="bottomRight" state="frozen"/>
      <selection pane="topRight" activeCell="J1" sqref="J1"/>
      <selection pane="bottomLeft" activeCell="A14" sqref="A14"/>
      <selection pane="bottomRight" activeCell="H1" sqref="A1:XFD17"/>
    </sheetView>
  </sheetViews>
  <sheetFormatPr defaultRowHeight="15" x14ac:dyDescent="0.25"/>
  <cols>
    <col min="1" max="1" width="3.7109375" customWidth="1"/>
    <col min="2" max="2" width="8.85546875" customWidth="1"/>
    <col min="3" max="3" width="7.7109375" customWidth="1"/>
    <col min="4" max="4" width="8.140625" customWidth="1"/>
    <col min="5" max="5" width="28.140625" customWidth="1"/>
    <col min="6" max="6" width="31.85546875" customWidth="1"/>
    <col min="7" max="7" width="13.28515625" customWidth="1"/>
    <col min="8" max="8" width="12.5703125" customWidth="1"/>
    <col min="9" max="9" width="12.140625" customWidth="1"/>
    <col min="10" max="10" width="12.5703125" customWidth="1"/>
    <col min="11" max="11" width="12.140625" customWidth="1"/>
    <col min="12" max="13" width="12.7109375" customWidth="1"/>
    <col min="14" max="14" width="11.7109375" customWidth="1"/>
    <col min="15" max="15" width="11.28515625" customWidth="1"/>
    <col min="16" max="17" width="12" customWidth="1"/>
    <col min="18" max="18" width="11.42578125" customWidth="1"/>
    <col min="19" max="19" width="12" customWidth="1"/>
    <col min="20" max="21" width="11.5703125" customWidth="1"/>
    <col min="22" max="22" width="11.85546875" customWidth="1"/>
    <col min="23" max="23" width="11.140625" customWidth="1"/>
    <col min="24" max="24" width="12.42578125" customWidth="1"/>
    <col min="25" max="26" width="13" customWidth="1"/>
    <col min="27" max="27" width="9.140625" customWidth="1"/>
  </cols>
  <sheetData>
    <row r="1" spans="1:26" ht="15" customHeight="1" x14ac:dyDescent="0.25">
      <c r="A1" s="66" t="s">
        <v>0</v>
      </c>
      <c r="B1" s="66" t="s">
        <v>1</v>
      </c>
      <c r="C1" s="66" t="s">
        <v>22</v>
      </c>
      <c r="D1" s="66" t="s">
        <v>21</v>
      </c>
      <c r="E1" s="66" t="s">
        <v>289</v>
      </c>
      <c r="F1" s="66" t="s">
        <v>3</v>
      </c>
      <c r="G1" s="66" t="s">
        <v>4</v>
      </c>
      <c r="H1" s="66" t="s">
        <v>7</v>
      </c>
      <c r="I1" s="66"/>
      <c r="J1" s="66"/>
      <c r="K1" s="66"/>
      <c r="L1" s="66"/>
      <c r="M1" s="66"/>
      <c r="N1" s="66"/>
      <c r="O1" s="66"/>
      <c r="P1" s="66" t="s">
        <v>314</v>
      </c>
      <c r="Q1" s="66"/>
      <c r="R1" s="66"/>
      <c r="S1" s="66"/>
      <c r="T1" s="66"/>
      <c r="U1" s="66"/>
      <c r="V1" s="66"/>
      <c r="W1" s="66"/>
      <c r="X1" s="66" t="s">
        <v>6</v>
      </c>
      <c r="Y1" s="66" t="s">
        <v>315</v>
      </c>
    </row>
    <row r="2" spans="1:26" ht="27.75" customHeight="1" x14ac:dyDescent="0.25">
      <c r="A2" s="66"/>
      <c r="B2" s="66"/>
      <c r="C2" s="66"/>
      <c r="D2" s="66"/>
      <c r="E2" s="66"/>
      <c r="F2" s="66"/>
      <c r="G2" s="66"/>
      <c r="H2" s="66" t="s">
        <v>307</v>
      </c>
      <c r="I2" s="66" t="s">
        <v>308</v>
      </c>
      <c r="J2" s="66" t="s">
        <v>309</v>
      </c>
      <c r="K2" s="66" t="s">
        <v>310</v>
      </c>
      <c r="L2" s="66" t="s">
        <v>311</v>
      </c>
      <c r="M2" s="70" t="s">
        <v>312</v>
      </c>
      <c r="N2" s="66" t="s">
        <v>313</v>
      </c>
      <c r="O2" s="66" t="s">
        <v>5</v>
      </c>
      <c r="P2" s="66" t="s">
        <v>307</v>
      </c>
      <c r="Q2" s="66" t="s">
        <v>308</v>
      </c>
      <c r="R2" s="66" t="s">
        <v>309</v>
      </c>
      <c r="S2" s="66" t="s">
        <v>310</v>
      </c>
      <c r="T2" s="66" t="s">
        <v>311</v>
      </c>
      <c r="U2" s="70" t="s">
        <v>312</v>
      </c>
      <c r="V2" s="66" t="s">
        <v>313</v>
      </c>
      <c r="W2" s="66" t="s">
        <v>5</v>
      </c>
      <c r="X2" s="66"/>
      <c r="Y2" s="66"/>
    </row>
    <row r="3" spans="1:26" ht="39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70"/>
      <c r="N3" s="66"/>
      <c r="O3" s="66"/>
      <c r="P3" s="66"/>
      <c r="Q3" s="66"/>
      <c r="R3" s="66"/>
      <c r="S3" s="66"/>
      <c r="T3" s="66"/>
      <c r="U3" s="70"/>
      <c r="V3" s="66"/>
      <c r="W3" s="66"/>
      <c r="X3" s="66"/>
      <c r="Y3" s="66"/>
    </row>
    <row r="4" spans="1:26" s="21" customFormat="1" ht="15.75" customHeight="1" x14ac:dyDescent="0.2">
      <c r="A4" s="67" t="s">
        <v>11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20"/>
    </row>
    <row r="5" spans="1:26" s="21" customFormat="1" ht="27.75" customHeight="1" x14ac:dyDescent="0.2">
      <c r="A5" s="7">
        <v>1</v>
      </c>
      <c r="B5" s="8">
        <v>79</v>
      </c>
      <c r="C5" s="13">
        <v>44945</v>
      </c>
      <c r="D5" s="12" t="s">
        <v>29</v>
      </c>
      <c r="E5" s="6" t="s">
        <v>534</v>
      </c>
      <c r="F5" s="6" t="s">
        <v>56</v>
      </c>
      <c r="G5" s="16"/>
      <c r="H5" s="10">
        <v>44889.279999999999</v>
      </c>
      <c r="I5" s="10">
        <v>25739.91</v>
      </c>
      <c r="J5" s="10"/>
      <c r="K5" s="10"/>
      <c r="L5" s="10">
        <v>1255952.25</v>
      </c>
      <c r="M5" s="10"/>
      <c r="N5" s="10"/>
      <c r="O5" s="10"/>
      <c r="P5" s="10">
        <v>44889.279999999999</v>
      </c>
      <c r="Q5" s="10">
        <v>25739.91</v>
      </c>
      <c r="R5" s="10"/>
      <c r="S5" s="10"/>
      <c r="T5" s="10">
        <f>288968.29+378385.09+212775.04+375823.83</f>
        <v>1255952.25</v>
      </c>
      <c r="U5" s="10"/>
      <c r="V5" s="10"/>
      <c r="W5" s="10"/>
      <c r="X5" s="10">
        <f>SUM(P5:W5)</f>
        <v>1326581.44</v>
      </c>
      <c r="Y5" s="10">
        <f>G5-X5</f>
        <v>-1326581.44</v>
      </c>
      <c r="Z5" s="20"/>
    </row>
    <row r="6" spans="1:26" s="21" customFormat="1" ht="16.5" customHeight="1" x14ac:dyDescent="0.2">
      <c r="A6" s="7">
        <v>2</v>
      </c>
      <c r="B6" s="8">
        <v>869</v>
      </c>
      <c r="C6" s="13">
        <v>45253</v>
      </c>
      <c r="D6" s="12" t="s">
        <v>29</v>
      </c>
      <c r="E6" s="6" t="s">
        <v>535</v>
      </c>
      <c r="F6" s="6" t="s">
        <v>56</v>
      </c>
      <c r="G6" s="16"/>
      <c r="H6" s="10"/>
      <c r="I6" s="10"/>
      <c r="J6" s="10"/>
      <c r="K6" s="10"/>
      <c r="L6" s="10">
        <v>244960.9</v>
      </c>
      <c r="M6" s="10">
        <v>1982899.1</v>
      </c>
      <c r="N6" s="10"/>
      <c r="O6" s="10"/>
      <c r="P6" s="10"/>
      <c r="Q6" s="10"/>
      <c r="R6" s="10"/>
      <c r="S6" s="10"/>
      <c r="T6" s="10">
        <v>244960.9</v>
      </c>
      <c r="U6" s="10"/>
      <c r="V6" s="10"/>
      <c r="W6" s="10"/>
      <c r="X6" s="10">
        <f t="shared" ref="X6:X9" si="0">SUM(P6:W6)</f>
        <v>244960.9</v>
      </c>
      <c r="Y6" s="10">
        <f>G6-X6</f>
        <v>-244960.9</v>
      </c>
      <c r="Z6" s="20"/>
    </row>
    <row r="7" spans="1:26" s="21" customFormat="1" ht="24.75" customHeight="1" x14ac:dyDescent="0.2">
      <c r="A7" s="7">
        <v>3</v>
      </c>
      <c r="B7" s="8">
        <v>44</v>
      </c>
      <c r="C7" s="13">
        <v>45306</v>
      </c>
      <c r="D7" s="12" t="s">
        <v>42</v>
      </c>
      <c r="E7" s="6" t="s">
        <v>536</v>
      </c>
      <c r="F7" s="6" t="s">
        <v>56</v>
      </c>
      <c r="G7" s="10">
        <v>8444730</v>
      </c>
      <c r="H7" s="10"/>
      <c r="I7" s="10"/>
      <c r="J7" s="10"/>
      <c r="K7" s="10"/>
      <c r="L7" s="10">
        <f>3245792.75+800000</f>
        <v>4045792.75</v>
      </c>
      <c r="M7" s="10">
        <f>5198937.25-800000</f>
        <v>4398937.25</v>
      </c>
      <c r="N7" s="10"/>
      <c r="O7" s="10"/>
      <c r="P7" s="10">
        <f>10158.21+33879.12+37372.05+33163.4+10974.56</f>
        <v>125547.34</v>
      </c>
      <c r="Q7" s="10">
        <f>36004.86+95317.99+99409.43+69216.56+17733.91+14074.54+13591.98+10535.8+10535.8+30682.49+29450.34</f>
        <v>426553.6999999999</v>
      </c>
      <c r="R7" s="10"/>
      <c r="S7" s="10"/>
      <c r="T7" s="10">
        <f>297999.38+224154.74+633362.46+647576.23+821752.87+824665.13+572168.09+24113.85</f>
        <v>4045792.75</v>
      </c>
      <c r="U7" s="10"/>
      <c r="V7" s="10"/>
      <c r="W7" s="10"/>
      <c r="X7" s="10">
        <f t="shared" si="0"/>
        <v>4597893.79</v>
      </c>
      <c r="Y7" s="10">
        <f>G7-X7</f>
        <v>3846836.21</v>
      </c>
      <c r="Z7" s="20"/>
    </row>
    <row r="8" spans="1:26" s="21" customFormat="1" ht="24.75" customHeight="1" x14ac:dyDescent="0.2">
      <c r="A8" s="7"/>
      <c r="B8" s="8"/>
      <c r="C8" s="13"/>
      <c r="D8" s="12"/>
      <c r="E8" s="6"/>
      <c r="F8" s="6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42">
        <v>707681.83</v>
      </c>
      <c r="U8" s="10"/>
      <c r="V8" s="10"/>
      <c r="W8" s="10"/>
      <c r="X8" s="10"/>
      <c r="Y8" s="10"/>
      <c r="Z8" s="20"/>
    </row>
    <row r="9" spans="1:26" s="21" customFormat="1" ht="15.75" customHeight="1" x14ac:dyDescent="0.2">
      <c r="A9" s="7">
        <v>4</v>
      </c>
      <c r="B9" s="8">
        <v>48</v>
      </c>
      <c r="C9" s="13">
        <v>45306</v>
      </c>
      <c r="D9" s="12" t="s">
        <v>42</v>
      </c>
      <c r="E9" s="6" t="s">
        <v>535</v>
      </c>
      <c r="F9" s="6" t="s">
        <v>56</v>
      </c>
      <c r="G9" s="10">
        <v>4950804</v>
      </c>
      <c r="H9" s="10">
        <f>25974.46</f>
        <v>25974.46</v>
      </c>
      <c r="I9" s="10"/>
      <c r="J9" s="10"/>
      <c r="K9" s="10"/>
      <c r="L9" s="10">
        <v>3744785.1</v>
      </c>
      <c r="M9" s="10">
        <v>1206018.8999999999</v>
      </c>
      <c r="N9" s="10"/>
      <c r="O9" s="10"/>
      <c r="P9" s="10">
        <f>25974.46+25614.96+21216.46+19128.33</f>
        <v>91934.21</v>
      </c>
      <c r="Q9" s="10"/>
      <c r="R9" s="10"/>
      <c r="S9" s="10"/>
      <c r="T9" s="10">
        <f>1204731.06+955599.73+791507.53+713605.52</f>
        <v>3665443.8400000003</v>
      </c>
      <c r="U9" s="10"/>
      <c r="V9" s="10"/>
      <c r="W9" s="10"/>
      <c r="X9" s="10">
        <f t="shared" si="0"/>
        <v>3757378.0500000003</v>
      </c>
      <c r="Y9" s="10">
        <f>G9-X9</f>
        <v>1193425.9499999997</v>
      </c>
      <c r="Z9" s="20"/>
    </row>
    <row r="10" spans="1:26" s="21" customFormat="1" ht="17.25" customHeight="1" x14ac:dyDescent="0.2">
      <c r="A10" s="7"/>
      <c r="B10" s="8"/>
      <c r="C10" s="13"/>
      <c r="D10" s="12"/>
      <c r="E10" s="6"/>
      <c r="F10" s="6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>
        <f t="shared" ref="X10" si="1">SUM(P10:W10)</f>
        <v>0</v>
      </c>
      <c r="Y10" s="10">
        <f>G10-X10</f>
        <v>0</v>
      </c>
      <c r="Z10" s="20"/>
    </row>
    <row r="11" spans="1:26" s="21" customFormat="1" ht="15.75" customHeight="1" x14ac:dyDescent="0.2">
      <c r="A11" s="62" t="s">
        <v>18</v>
      </c>
      <c r="B11" s="62"/>
      <c r="C11" s="62"/>
      <c r="D11" s="62"/>
      <c r="E11" s="62"/>
      <c r="F11" s="62"/>
      <c r="G11" s="16">
        <f>SUM(G5:G10)</f>
        <v>13395534</v>
      </c>
      <c r="H11" s="16">
        <f t="shared" ref="H11:Y11" si="2">SUM(H5:H10)</f>
        <v>70863.739999999991</v>
      </c>
      <c r="I11" s="16">
        <f t="shared" si="2"/>
        <v>25739.91</v>
      </c>
      <c r="J11" s="16">
        <f t="shared" si="2"/>
        <v>0</v>
      </c>
      <c r="K11" s="16">
        <f t="shared" si="2"/>
        <v>0</v>
      </c>
      <c r="L11" s="16">
        <f t="shared" si="2"/>
        <v>9291491</v>
      </c>
      <c r="M11" s="16">
        <f t="shared" si="2"/>
        <v>7587855.25</v>
      </c>
      <c r="N11" s="16">
        <f t="shared" si="2"/>
        <v>0</v>
      </c>
      <c r="O11" s="16">
        <f t="shared" si="2"/>
        <v>0</v>
      </c>
      <c r="P11" s="16">
        <f t="shared" si="2"/>
        <v>262370.83</v>
      </c>
      <c r="Q11" s="16">
        <f t="shared" si="2"/>
        <v>452293.60999999987</v>
      </c>
      <c r="R11" s="16">
        <f t="shared" si="2"/>
        <v>0</v>
      </c>
      <c r="S11" s="16">
        <f t="shared" si="2"/>
        <v>0</v>
      </c>
      <c r="T11" s="16">
        <f t="shared" si="2"/>
        <v>9919831.5700000003</v>
      </c>
      <c r="U11" s="16">
        <f t="shared" si="2"/>
        <v>0</v>
      </c>
      <c r="V11" s="16">
        <f t="shared" si="2"/>
        <v>0</v>
      </c>
      <c r="W11" s="16">
        <f t="shared" si="2"/>
        <v>0</v>
      </c>
      <c r="X11" s="16">
        <f t="shared" si="2"/>
        <v>9926814.1799999997</v>
      </c>
      <c r="Y11" s="16">
        <f t="shared" si="2"/>
        <v>3468719.82</v>
      </c>
      <c r="Z11" s="20"/>
    </row>
  </sheetData>
  <mergeCells count="29">
    <mergeCell ref="F1:F3"/>
    <mergeCell ref="A1:A3"/>
    <mergeCell ref="B1:B3"/>
    <mergeCell ref="C1:C3"/>
    <mergeCell ref="D1:D3"/>
    <mergeCell ref="E1:E3"/>
    <mergeCell ref="X1:X3"/>
    <mergeCell ref="Y1:Y3"/>
    <mergeCell ref="H2:H3"/>
    <mergeCell ref="I2:I3"/>
    <mergeCell ref="J2:J3"/>
    <mergeCell ref="K2:K3"/>
    <mergeCell ref="L2:L3"/>
    <mergeCell ref="A4:Y4"/>
    <mergeCell ref="A11:F11"/>
    <mergeCell ref="S2:S3"/>
    <mergeCell ref="T2:T3"/>
    <mergeCell ref="U2:U3"/>
    <mergeCell ref="V2:V3"/>
    <mergeCell ref="W2:W3"/>
    <mergeCell ref="M2:M3"/>
    <mergeCell ref="N2:N3"/>
    <mergeCell ref="O2:O3"/>
    <mergeCell ref="P2:P3"/>
    <mergeCell ref="Q2:Q3"/>
    <mergeCell ref="R2:R3"/>
    <mergeCell ref="G1:G3"/>
    <mergeCell ref="H1:O1"/>
    <mergeCell ref="P1:W1"/>
  </mergeCells>
  <pageMargins left="0.19685039370078741" right="0.19685039370078741" top="0.19685039370078741" bottom="0.19685039370078741" header="0.31496062992125984" footer="0.31496062992125984"/>
  <pageSetup paperSize="9" scale="43" fitToHeight="0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AB7E1-42E6-41B6-B5D4-B18BD5BF3499}">
  <sheetPr>
    <pageSetUpPr fitToPage="1"/>
  </sheetPr>
  <dimension ref="A1:AC20"/>
  <sheetViews>
    <sheetView zoomScale="75" zoomScaleNormal="75" workbookViewId="0">
      <pane xSplit="14" ySplit="3" topLeftCell="O4" activePane="bottomRight" state="frozen"/>
      <selection pane="topRight" activeCell="J1" sqref="J1"/>
      <selection pane="bottomLeft" activeCell="A14" sqref="A14"/>
      <selection pane="bottomRight" activeCell="H1" sqref="A1:XFD20"/>
    </sheetView>
  </sheetViews>
  <sheetFormatPr defaultRowHeight="15" x14ac:dyDescent="0.25"/>
  <cols>
    <col min="1" max="1" width="3.7109375" customWidth="1"/>
    <col min="2" max="2" width="8.85546875" customWidth="1"/>
    <col min="3" max="3" width="7.7109375" customWidth="1"/>
    <col min="4" max="4" width="8.140625" customWidth="1"/>
    <col min="5" max="5" width="28.140625" customWidth="1"/>
    <col min="6" max="6" width="31.85546875" customWidth="1"/>
    <col min="7" max="7" width="13.28515625" customWidth="1"/>
    <col min="8" max="8" width="12.5703125" customWidth="1"/>
    <col min="9" max="9" width="12.140625" customWidth="1"/>
    <col min="10" max="10" width="12.5703125" customWidth="1"/>
    <col min="11" max="11" width="12.140625" customWidth="1"/>
    <col min="12" max="13" width="12.7109375" customWidth="1"/>
    <col min="14" max="14" width="11.7109375" customWidth="1"/>
    <col min="15" max="15" width="11.28515625" customWidth="1"/>
    <col min="16" max="19" width="12" customWidth="1"/>
    <col min="20" max="20" width="11.42578125" customWidth="1"/>
    <col min="21" max="21" width="12" customWidth="1"/>
    <col min="22" max="23" width="11.5703125" customWidth="1"/>
    <col min="24" max="24" width="11.85546875" customWidth="1"/>
    <col min="25" max="25" width="11.140625" customWidth="1"/>
    <col min="26" max="26" width="12.42578125" customWidth="1"/>
    <col min="27" max="28" width="13" customWidth="1"/>
    <col min="29" max="29" width="13.85546875" customWidth="1"/>
  </cols>
  <sheetData>
    <row r="1" spans="1:29" ht="15" customHeight="1" x14ac:dyDescent="0.25">
      <c r="A1" s="66" t="s">
        <v>0</v>
      </c>
      <c r="B1" s="66" t="s">
        <v>1</v>
      </c>
      <c r="C1" s="66" t="s">
        <v>22</v>
      </c>
      <c r="D1" s="66" t="s">
        <v>21</v>
      </c>
      <c r="E1" s="66" t="s">
        <v>289</v>
      </c>
      <c r="F1" s="66" t="s">
        <v>3</v>
      </c>
      <c r="G1" s="66" t="s">
        <v>4</v>
      </c>
      <c r="H1" s="66" t="s">
        <v>7</v>
      </c>
      <c r="I1" s="66"/>
      <c r="J1" s="66"/>
      <c r="K1" s="66"/>
      <c r="L1" s="66"/>
      <c r="M1" s="66"/>
      <c r="N1" s="66"/>
      <c r="O1" s="66"/>
      <c r="P1" s="66" t="s">
        <v>314</v>
      </c>
      <c r="Q1" s="66"/>
      <c r="R1" s="66"/>
      <c r="S1" s="66"/>
      <c r="T1" s="66"/>
      <c r="U1" s="66"/>
      <c r="V1" s="66"/>
      <c r="W1" s="66"/>
      <c r="X1" s="66"/>
      <c r="Y1" s="66"/>
      <c r="Z1" s="66" t="s">
        <v>6</v>
      </c>
      <c r="AA1" s="66" t="s">
        <v>315</v>
      </c>
    </row>
    <row r="2" spans="1:29" ht="27.75" customHeight="1" x14ac:dyDescent="0.25">
      <c r="A2" s="66"/>
      <c r="B2" s="66"/>
      <c r="C2" s="66"/>
      <c r="D2" s="66"/>
      <c r="E2" s="66"/>
      <c r="F2" s="66"/>
      <c r="G2" s="66"/>
      <c r="H2" s="66" t="s">
        <v>307</v>
      </c>
      <c r="I2" s="66" t="s">
        <v>308</v>
      </c>
      <c r="J2" s="66" t="s">
        <v>309</v>
      </c>
      <c r="K2" s="66" t="s">
        <v>310</v>
      </c>
      <c r="L2" s="66" t="s">
        <v>311</v>
      </c>
      <c r="M2" s="70" t="s">
        <v>312</v>
      </c>
      <c r="N2" s="66" t="s">
        <v>313</v>
      </c>
      <c r="O2" s="66" t="s">
        <v>5</v>
      </c>
      <c r="P2" s="66" t="s">
        <v>307</v>
      </c>
      <c r="Q2" s="66" t="s">
        <v>308</v>
      </c>
      <c r="R2" s="71" t="s">
        <v>1063</v>
      </c>
      <c r="S2" s="71" t="s">
        <v>1064</v>
      </c>
      <c r="T2" s="66" t="s">
        <v>309</v>
      </c>
      <c r="U2" s="66" t="s">
        <v>310</v>
      </c>
      <c r="V2" s="66" t="s">
        <v>311</v>
      </c>
      <c r="W2" s="70" t="s">
        <v>312</v>
      </c>
      <c r="X2" s="66" t="s">
        <v>313</v>
      </c>
      <c r="Y2" s="66" t="s">
        <v>5</v>
      </c>
      <c r="Z2" s="66"/>
      <c r="AA2" s="66"/>
    </row>
    <row r="3" spans="1:29" ht="39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70"/>
      <c r="N3" s="66"/>
      <c r="O3" s="66"/>
      <c r="P3" s="66"/>
      <c r="Q3" s="66"/>
      <c r="R3" s="71"/>
      <c r="S3" s="71"/>
      <c r="T3" s="66"/>
      <c r="U3" s="66"/>
      <c r="V3" s="66"/>
      <c r="W3" s="70"/>
      <c r="X3" s="66"/>
      <c r="Y3" s="66"/>
      <c r="Z3" s="66"/>
      <c r="AA3" s="66"/>
    </row>
    <row r="4" spans="1:29" ht="15.75" customHeight="1" x14ac:dyDescent="0.25">
      <c r="A4" s="67" t="s">
        <v>12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3"/>
    </row>
    <row r="5" spans="1:29" ht="26.25" customHeight="1" x14ac:dyDescent="0.25">
      <c r="A5" s="7">
        <v>1</v>
      </c>
      <c r="B5" s="12" t="s">
        <v>41</v>
      </c>
      <c r="C5" s="9">
        <v>45296</v>
      </c>
      <c r="D5" s="18" t="s">
        <v>42</v>
      </c>
      <c r="E5" s="5" t="s">
        <v>986</v>
      </c>
      <c r="F5" s="5" t="s">
        <v>43</v>
      </c>
      <c r="G5" s="10">
        <f>572000-351306.9</f>
        <v>220693.09999999998</v>
      </c>
      <c r="H5" s="10"/>
      <c r="I5" s="10"/>
      <c r="J5" s="10"/>
      <c r="K5" s="10"/>
      <c r="L5" s="10">
        <f>487000-288811.47</f>
        <v>198188.53000000003</v>
      </c>
      <c r="M5" s="10">
        <f>85000-62495.43</f>
        <v>22504.57</v>
      </c>
      <c r="N5" s="10"/>
      <c r="O5" s="10"/>
      <c r="P5" s="10">
        <f>2097.31+1993.33+1856.46+1959.46+2049.76+2016.57</f>
        <v>11972.89</v>
      </c>
      <c r="Q5" s="27">
        <f>1861.46+1773.5+1645.18+1731.62+1842.51+1677.41</f>
        <v>10531.68</v>
      </c>
      <c r="R5" s="27"/>
      <c r="S5" s="27"/>
      <c r="T5" s="31"/>
      <c r="U5" s="31"/>
      <c r="V5" s="27">
        <f>35288.39+34178.67+30367.22+32452.12+33996.32+31905.81</f>
        <v>198188.53</v>
      </c>
      <c r="W5" s="31"/>
      <c r="X5" s="31"/>
      <c r="Y5" s="31"/>
      <c r="Z5" s="10">
        <f>SUM(P5:Y5)</f>
        <v>220693.1</v>
      </c>
      <c r="AA5" s="10">
        <f t="shared" ref="AA5:AA10" si="0">G5-Z5</f>
        <v>0</v>
      </c>
      <c r="AB5" s="3"/>
      <c r="AC5" s="1"/>
    </row>
    <row r="6" spans="1:29" ht="25.5" customHeight="1" x14ac:dyDescent="0.25">
      <c r="A6" s="7">
        <v>2</v>
      </c>
      <c r="B6" s="12" t="s">
        <v>44</v>
      </c>
      <c r="C6" s="9">
        <v>45296</v>
      </c>
      <c r="D6" s="18" t="s">
        <v>42</v>
      </c>
      <c r="E6" s="5" t="s">
        <v>986</v>
      </c>
      <c r="F6" s="5" t="s">
        <v>45</v>
      </c>
      <c r="G6" s="10">
        <f>699840-409099.41</f>
        <v>290740.59000000003</v>
      </c>
      <c r="H6" s="10"/>
      <c r="I6" s="10"/>
      <c r="J6" s="10"/>
      <c r="K6" s="10"/>
      <c r="L6" s="10">
        <f>595840-334986.87</f>
        <v>260853.13</v>
      </c>
      <c r="M6" s="10">
        <f>104000-74112.54</f>
        <v>29887.460000000006</v>
      </c>
      <c r="N6" s="10"/>
      <c r="O6" s="10"/>
      <c r="P6" s="10">
        <f>2901.48+2745.31+2523.31+2552.46+2642.98+2534.11</f>
        <v>15899.650000000001</v>
      </c>
      <c r="Q6" s="27">
        <f>2587.96+2421.24+2247.22+2245.23+2380.47+2105.69</f>
        <v>13987.81</v>
      </c>
      <c r="R6" s="27"/>
      <c r="S6" s="27"/>
      <c r="T6" s="31"/>
      <c r="U6" s="31"/>
      <c r="V6" s="27">
        <f>47845.75+46506.52+40971.39+42063.98+43635.88+39829.61</f>
        <v>260853.13</v>
      </c>
      <c r="W6" s="31"/>
      <c r="X6" s="31"/>
      <c r="Y6" s="31"/>
      <c r="Z6" s="10">
        <f t="shared" ref="Z6:Z8" si="1">SUM(P6:Y6)</f>
        <v>290740.59000000003</v>
      </c>
      <c r="AA6" s="10">
        <f t="shared" si="0"/>
        <v>0</v>
      </c>
      <c r="AB6" s="3"/>
      <c r="AC6" s="1"/>
    </row>
    <row r="7" spans="1:29" ht="25.5" x14ac:dyDescent="0.25">
      <c r="A7" s="8">
        <v>3</v>
      </c>
      <c r="B7" s="12" t="s">
        <v>41</v>
      </c>
      <c r="C7" s="13">
        <v>45265</v>
      </c>
      <c r="D7" s="12" t="s">
        <v>29</v>
      </c>
      <c r="E7" s="6" t="s">
        <v>65</v>
      </c>
      <c r="F7" s="6" t="s">
        <v>43</v>
      </c>
      <c r="G7" s="10">
        <v>57216</v>
      </c>
      <c r="H7" s="10"/>
      <c r="I7" s="10"/>
      <c r="J7" s="10"/>
      <c r="K7" s="10"/>
      <c r="L7" s="10">
        <v>40274.47</v>
      </c>
      <c r="M7" s="10">
        <v>16941.53</v>
      </c>
      <c r="N7" s="10"/>
      <c r="O7" s="10"/>
      <c r="P7" s="10"/>
      <c r="Q7" s="31"/>
      <c r="R7" s="31"/>
      <c r="S7" s="31"/>
      <c r="T7" s="31"/>
      <c r="U7" s="31"/>
      <c r="V7" s="27">
        <v>40274.47</v>
      </c>
      <c r="W7" s="31"/>
      <c r="X7" s="31"/>
      <c r="Y7" s="31"/>
      <c r="Z7" s="10">
        <f t="shared" si="1"/>
        <v>40274.47</v>
      </c>
      <c r="AA7" s="10">
        <f t="shared" si="0"/>
        <v>16941.53</v>
      </c>
      <c r="AB7" s="3"/>
    </row>
    <row r="8" spans="1:29" ht="25.5" x14ac:dyDescent="0.25">
      <c r="A8" s="8">
        <v>4</v>
      </c>
      <c r="B8" s="12" t="s">
        <v>44</v>
      </c>
      <c r="C8" s="13">
        <v>44942</v>
      </c>
      <c r="D8" s="12" t="s">
        <v>29</v>
      </c>
      <c r="E8" s="6" t="s">
        <v>78</v>
      </c>
      <c r="F8" s="5" t="s">
        <v>45</v>
      </c>
      <c r="G8" s="10">
        <v>253750.85</v>
      </c>
      <c r="H8" s="10"/>
      <c r="I8" s="10"/>
      <c r="J8" s="10"/>
      <c r="K8" s="10"/>
      <c r="L8" s="10">
        <v>56159.82</v>
      </c>
      <c r="M8" s="10">
        <v>197591.03</v>
      </c>
      <c r="N8" s="10"/>
      <c r="O8" s="10"/>
      <c r="P8" s="10"/>
      <c r="Q8" s="31"/>
      <c r="R8" s="31"/>
      <c r="S8" s="31"/>
      <c r="T8" s="31"/>
      <c r="U8" s="31"/>
      <c r="V8" s="27">
        <v>56159.82</v>
      </c>
      <c r="W8" s="31"/>
      <c r="X8" s="31"/>
      <c r="Y8" s="31"/>
      <c r="Z8" s="10">
        <f t="shared" si="1"/>
        <v>56159.82</v>
      </c>
      <c r="AA8" s="10">
        <f t="shared" si="0"/>
        <v>197591.03</v>
      </c>
      <c r="AB8" s="3"/>
    </row>
    <row r="9" spans="1:29" ht="25.5" x14ac:dyDescent="0.25">
      <c r="A9" s="8">
        <v>5</v>
      </c>
      <c r="B9" s="12" t="s">
        <v>41</v>
      </c>
      <c r="C9" s="13">
        <v>45469</v>
      </c>
      <c r="D9" s="12" t="s">
        <v>42</v>
      </c>
      <c r="E9" s="5" t="s">
        <v>96</v>
      </c>
      <c r="F9" s="5" t="s">
        <v>43</v>
      </c>
      <c r="G9" s="10">
        <f>595336.76-98535.53</f>
        <v>496801.23</v>
      </c>
      <c r="H9" s="10"/>
      <c r="I9" s="10"/>
      <c r="J9" s="10"/>
      <c r="K9" s="10"/>
      <c r="L9" s="10">
        <f>472568.76-60943.23</f>
        <v>411625.53</v>
      </c>
      <c r="M9" s="10">
        <f>122768-37592.3</f>
        <v>85175.7</v>
      </c>
      <c r="N9" s="10"/>
      <c r="O9" s="10"/>
      <c r="P9" s="10">
        <f>5254.48+7831.4+5093.2+5169.45</f>
        <v>23348.53</v>
      </c>
      <c r="Q9" s="27">
        <f>4325.22+6125.38+4352.7+4661.21</f>
        <v>19464.509999999998</v>
      </c>
      <c r="R9" s="27">
        <v>5785.85</v>
      </c>
      <c r="S9" s="27">
        <f>10504.14+9419.59+7462.18+9190.9</f>
        <v>36576.81</v>
      </c>
      <c r="T9" s="31"/>
      <c r="U9" s="31"/>
      <c r="V9" s="27">
        <f>22609.27+80313.46+128913.42+89354.92+90434.46</f>
        <v>411625.53</v>
      </c>
      <c r="W9" s="31"/>
      <c r="X9" s="31"/>
      <c r="Y9" s="31"/>
      <c r="Z9" s="10">
        <f t="shared" ref="Z9" si="2">SUM(P9:Y9)</f>
        <v>496801.23</v>
      </c>
      <c r="AA9" s="10">
        <f t="shared" si="0"/>
        <v>0</v>
      </c>
      <c r="AB9" s="3"/>
    </row>
    <row r="10" spans="1:29" ht="25.5" x14ac:dyDescent="0.25">
      <c r="A10" s="8">
        <v>6</v>
      </c>
      <c r="B10" s="12" t="s">
        <v>44</v>
      </c>
      <c r="C10" s="13">
        <v>45469</v>
      </c>
      <c r="D10" s="12" t="s">
        <v>42</v>
      </c>
      <c r="E10" s="5" t="s">
        <v>96</v>
      </c>
      <c r="F10" s="5" t="s">
        <v>45</v>
      </c>
      <c r="G10" s="10">
        <f>709827.98-92352.59</f>
        <v>617475.39</v>
      </c>
      <c r="H10" s="10"/>
      <c r="I10" s="10"/>
      <c r="J10" s="10"/>
      <c r="K10" s="10"/>
      <c r="L10" s="10">
        <f>534773.67-20119.15</f>
        <v>514654.52</v>
      </c>
      <c r="M10" s="10">
        <f>175054.31-72233.44</f>
        <v>102820.87</v>
      </c>
      <c r="N10" s="10"/>
      <c r="O10" s="10"/>
      <c r="P10" s="10">
        <f>7206.99+9457.03+6142.81+6462.23</f>
        <v>29269.06</v>
      </c>
      <c r="Q10" s="27">
        <f>5939.72+7398.59+5247.71+5785.31</f>
        <v>24371.33</v>
      </c>
      <c r="R10" s="27">
        <v>7076.92</v>
      </c>
      <c r="S10" s="27">
        <f>12619.84+11316.83+8965.16+9201.73</f>
        <v>42103.56</v>
      </c>
      <c r="T10" s="31"/>
      <c r="U10" s="31"/>
      <c r="V10" s="27">
        <f>27869.8+109777.94+155565.57+107686.98+113754.23</f>
        <v>514654.51999999996</v>
      </c>
      <c r="W10" s="31"/>
      <c r="X10" s="31"/>
      <c r="Y10" s="31"/>
      <c r="Z10" s="10">
        <f t="shared" ref="Z10" si="3">SUM(P10:Y10)</f>
        <v>617475.3899999999</v>
      </c>
      <c r="AA10" s="10">
        <f t="shared" si="0"/>
        <v>0</v>
      </c>
      <c r="AB10" s="3"/>
    </row>
    <row r="11" spans="1:29" ht="25.5" x14ac:dyDescent="0.25">
      <c r="A11" s="8">
        <v>7</v>
      </c>
      <c r="B11" s="12" t="s">
        <v>41</v>
      </c>
      <c r="C11" s="13">
        <v>45603</v>
      </c>
      <c r="D11" s="12" t="s">
        <v>42</v>
      </c>
      <c r="E11" s="5" t="s">
        <v>96</v>
      </c>
      <c r="F11" s="5" t="s">
        <v>43</v>
      </c>
      <c r="G11" s="10">
        <v>250266.9</v>
      </c>
      <c r="H11" s="10"/>
      <c r="I11" s="10"/>
      <c r="J11" s="10"/>
      <c r="K11" s="10"/>
      <c r="L11" s="10">
        <v>190000</v>
      </c>
      <c r="M11" s="10">
        <v>60266.9</v>
      </c>
      <c r="N11" s="10"/>
      <c r="O11" s="10"/>
      <c r="P11" s="10"/>
      <c r="Q11" s="27"/>
      <c r="R11" s="27"/>
      <c r="S11" s="27"/>
      <c r="T11" s="31"/>
      <c r="U11" s="31"/>
      <c r="V11" s="27"/>
      <c r="W11" s="31"/>
      <c r="X11" s="31"/>
      <c r="Y11" s="31"/>
      <c r="Z11" s="10">
        <f t="shared" ref="Z11" si="4">SUM(P11:Y11)</f>
        <v>0</v>
      </c>
      <c r="AA11" s="10">
        <f t="shared" ref="AA11" si="5">G11-Z11</f>
        <v>250266.9</v>
      </c>
      <c r="AB11" s="3"/>
    </row>
    <row r="12" spans="1:29" ht="25.5" x14ac:dyDescent="0.25">
      <c r="A12" s="8">
        <v>8</v>
      </c>
      <c r="B12" s="12" t="s">
        <v>44</v>
      </c>
      <c r="C12" s="13">
        <v>45603</v>
      </c>
      <c r="D12" s="12" t="s">
        <v>42</v>
      </c>
      <c r="E12" s="5" t="s">
        <v>96</v>
      </c>
      <c r="F12" s="5" t="s">
        <v>45</v>
      </c>
      <c r="G12" s="10">
        <v>300189.7</v>
      </c>
      <c r="H12" s="10"/>
      <c r="I12" s="10"/>
      <c r="J12" s="10"/>
      <c r="K12" s="10"/>
      <c r="L12" s="10">
        <v>236725.71</v>
      </c>
      <c r="M12" s="10">
        <v>63463.99</v>
      </c>
      <c r="N12" s="10"/>
      <c r="O12" s="10"/>
      <c r="P12" s="10"/>
      <c r="Q12" s="27"/>
      <c r="R12" s="27"/>
      <c r="S12" s="27"/>
      <c r="T12" s="31"/>
      <c r="U12" s="31"/>
      <c r="V12" s="27"/>
      <c r="W12" s="31"/>
      <c r="X12" s="31"/>
      <c r="Y12" s="31"/>
      <c r="Z12" s="10">
        <f t="shared" ref="Z12" si="6">SUM(P12:Y12)</f>
        <v>0</v>
      </c>
      <c r="AA12" s="10">
        <f t="shared" ref="AA12" si="7">G12-Z12</f>
        <v>300189.7</v>
      </c>
      <c r="AB12" s="3"/>
    </row>
    <row r="13" spans="1:29" x14ac:dyDescent="0.25">
      <c r="A13" s="8"/>
      <c r="B13" s="12"/>
      <c r="C13" s="13"/>
      <c r="D13" s="12"/>
      <c r="E13" s="6"/>
      <c r="F13" s="5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31"/>
      <c r="R13" s="31"/>
      <c r="S13" s="31"/>
      <c r="T13" s="31"/>
      <c r="U13" s="31"/>
      <c r="V13" s="27"/>
      <c r="W13" s="31"/>
      <c r="X13" s="31"/>
      <c r="Y13" s="31"/>
      <c r="Z13" s="10"/>
      <c r="AA13" s="10"/>
      <c r="AB13" s="3"/>
    </row>
    <row r="14" spans="1:29" ht="15.75" customHeight="1" x14ac:dyDescent="0.25">
      <c r="A14" s="62" t="s">
        <v>19</v>
      </c>
      <c r="B14" s="62"/>
      <c r="C14" s="62"/>
      <c r="D14" s="62"/>
      <c r="E14" s="62"/>
      <c r="F14" s="62"/>
      <c r="G14" s="16">
        <f>SUM(G5:G13)</f>
        <v>2487133.7600000002</v>
      </c>
      <c r="H14" s="16">
        <f t="shared" ref="H14:AA14" si="8">SUM(H5:H13)</f>
        <v>0</v>
      </c>
      <c r="I14" s="16">
        <f t="shared" si="8"/>
        <v>0</v>
      </c>
      <c r="J14" s="16">
        <f t="shared" si="8"/>
        <v>0</v>
      </c>
      <c r="K14" s="16">
        <f t="shared" si="8"/>
        <v>0</v>
      </c>
      <c r="L14" s="16">
        <f t="shared" si="8"/>
        <v>1908481.71</v>
      </c>
      <c r="M14" s="16">
        <f t="shared" si="8"/>
        <v>578652.05000000005</v>
      </c>
      <c r="N14" s="16">
        <f t="shared" si="8"/>
        <v>0</v>
      </c>
      <c r="O14" s="16">
        <f t="shared" si="8"/>
        <v>0</v>
      </c>
      <c r="P14" s="16">
        <f t="shared" si="8"/>
        <v>80490.13</v>
      </c>
      <c r="Q14" s="16">
        <f t="shared" si="8"/>
        <v>68355.33</v>
      </c>
      <c r="R14" s="16"/>
      <c r="S14" s="16"/>
      <c r="T14" s="16">
        <f t="shared" si="8"/>
        <v>0</v>
      </c>
      <c r="U14" s="16">
        <f t="shared" si="8"/>
        <v>0</v>
      </c>
      <c r="V14" s="16">
        <f t="shared" si="8"/>
        <v>1481756</v>
      </c>
      <c r="W14" s="16">
        <f t="shared" si="8"/>
        <v>0</v>
      </c>
      <c r="X14" s="16">
        <f t="shared" si="8"/>
        <v>0</v>
      </c>
      <c r="Y14" s="16">
        <f t="shared" si="8"/>
        <v>0</v>
      </c>
      <c r="Z14" s="16">
        <f t="shared" si="8"/>
        <v>1722144.5999999999</v>
      </c>
      <c r="AA14" s="16">
        <f t="shared" si="8"/>
        <v>764989.15999999992</v>
      </c>
      <c r="AB14" s="3"/>
    </row>
    <row r="20" spans="12:12" x14ac:dyDescent="0.25">
      <c r="L20" s="1"/>
    </row>
  </sheetData>
  <mergeCells count="31">
    <mergeCell ref="F1:F3"/>
    <mergeCell ref="A1:A3"/>
    <mergeCell ref="B1:B3"/>
    <mergeCell ref="C1:C3"/>
    <mergeCell ref="D1:D3"/>
    <mergeCell ref="E1:E3"/>
    <mergeCell ref="Z1:Z3"/>
    <mergeCell ref="AA1:AA3"/>
    <mergeCell ref="H2:H3"/>
    <mergeCell ref="I2:I3"/>
    <mergeCell ref="J2:J3"/>
    <mergeCell ref="K2:K3"/>
    <mergeCell ref="L2:L3"/>
    <mergeCell ref="R2:R3"/>
    <mergeCell ref="S2:S3"/>
    <mergeCell ref="A4:AA4"/>
    <mergeCell ref="A14:F14"/>
    <mergeCell ref="U2:U3"/>
    <mergeCell ref="V2:V3"/>
    <mergeCell ref="W2:W3"/>
    <mergeCell ref="X2:X3"/>
    <mergeCell ref="Y2:Y3"/>
    <mergeCell ref="M2:M3"/>
    <mergeCell ref="N2:N3"/>
    <mergeCell ref="O2:O3"/>
    <mergeCell ref="P2:P3"/>
    <mergeCell ref="Q2:Q3"/>
    <mergeCell ref="T2:T3"/>
    <mergeCell ref="G1:G3"/>
    <mergeCell ref="H1:O1"/>
    <mergeCell ref="P1:Y1"/>
  </mergeCells>
  <pageMargins left="0.19685039370078741" right="0.19685039370078741" top="0.19685039370078741" bottom="0.19685039370078741" header="0.31496062992125984" footer="0.31496062992125984"/>
  <pageSetup paperSize="9" scale="44" fitToHeight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48ABA-5364-43EA-8156-CBDD4F2DC51E}">
  <sheetPr>
    <pageSetUpPr fitToPage="1"/>
  </sheetPr>
  <dimension ref="A1:AC30"/>
  <sheetViews>
    <sheetView zoomScale="75" zoomScaleNormal="75" workbookViewId="0">
      <pane xSplit="15" ySplit="3" topLeftCell="P4" activePane="bottomRight" state="frozen"/>
      <selection pane="topRight" activeCell="J1" sqref="J1"/>
      <selection pane="bottomLeft" activeCell="A14" sqref="A14"/>
      <selection pane="bottomRight" activeCell="H1" sqref="A1:XFD28"/>
    </sheetView>
  </sheetViews>
  <sheetFormatPr defaultRowHeight="15" x14ac:dyDescent="0.25"/>
  <cols>
    <col min="1" max="1" width="3.7109375" customWidth="1"/>
    <col min="2" max="2" width="8.85546875" customWidth="1"/>
    <col min="3" max="3" width="7.7109375" customWidth="1"/>
    <col min="4" max="4" width="8.140625" customWidth="1"/>
    <col min="5" max="5" width="28.140625" customWidth="1"/>
    <col min="6" max="6" width="31.85546875" customWidth="1"/>
    <col min="7" max="7" width="13.28515625" customWidth="1"/>
    <col min="8" max="8" width="12.5703125" customWidth="1"/>
    <col min="9" max="10" width="12.140625" customWidth="1"/>
    <col min="11" max="11" width="12.5703125" customWidth="1"/>
    <col min="12" max="12" width="12.140625" customWidth="1"/>
    <col min="13" max="14" width="12.7109375" customWidth="1"/>
    <col min="15" max="15" width="11.7109375" customWidth="1"/>
    <col min="16" max="16" width="11.28515625" customWidth="1"/>
    <col min="17" max="19" width="12" customWidth="1"/>
    <col min="20" max="20" width="11.42578125" customWidth="1"/>
    <col min="21" max="21" width="12" customWidth="1"/>
    <col min="22" max="23" width="11.5703125" customWidth="1"/>
    <col min="24" max="24" width="11.85546875" customWidth="1"/>
    <col min="25" max="25" width="11.140625" customWidth="1"/>
    <col min="26" max="26" width="12.42578125" customWidth="1"/>
    <col min="27" max="28" width="13" customWidth="1"/>
    <col min="29" max="29" width="9.140625" customWidth="1"/>
  </cols>
  <sheetData>
    <row r="1" spans="1:29" ht="15" customHeight="1" x14ac:dyDescent="0.25">
      <c r="A1" s="66" t="s">
        <v>0</v>
      </c>
      <c r="B1" s="66" t="s">
        <v>1</v>
      </c>
      <c r="C1" s="66" t="s">
        <v>22</v>
      </c>
      <c r="D1" s="66" t="s">
        <v>21</v>
      </c>
      <c r="E1" s="66" t="s">
        <v>289</v>
      </c>
      <c r="F1" s="66" t="s">
        <v>3</v>
      </c>
      <c r="G1" s="66" t="s">
        <v>4</v>
      </c>
      <c r="H1" s="66" t="s">
        <v>7</v>
      </c>
      <c r="I1" s="66"/>
      <c r="J1" s="66"/>
      <c r="K1" s="66"/>
      <c r="L1" s="66"/>
      <c r="M1" s="66"/>
      <c r="N1" s="66"/>
      <c r="O1" s="66"/>
      <c r="P1" s="66"/>
      <c r="Q1" s="66" t="s">
        <v>314</v>
      </c>
      <c r="R1" s="66"/>
      <c r="S1" s="66"/>
      <c r="T1" s="66"/>
      <c r="U1" s="66"/>
      <c r="V1" s="66"/>
      <c r="W1" s="66"/>
      <c r="X1" s="66"/>
      <c r="Y1" s="66"/>
      <c r="Z1" s="66" t="s">
        <v>6</v>
      </c>
      <c r="AA1" s="66" t="s">
        <v>315</v>
      </c>
    </row>
    <row r="2" spans="1:29" ht="27.75" customHeight="1" x14ac:dyDescent="0.25">
      <c r="A2" s="66"/>
      <c r="B2" s="66"/>
      <c r="C2" s="66"/>
      <c r="D2" s="66"/>
      <c r="E2" s="66"/>
      <c r="F2" s="66"/>
      <c r="G2" s="66"/>
      <c r="H2" s="66" t="s">
        <v>307</v>
      </c>
      <c r="I2" s="66" t="s">
        <v>308</v>
      </c>
      <c r="J2" s="71" t="s">
        <v>1064</v>
      </c>
      <c r="K2" s="66" t="s">
        <v>309</v>
      </c>
      <c r="L2" s="66" t="s">
        <v>310</v>
      </c>
      <c r="M2" s="66" t="s">
        <v>311</v>
      </c>
      <c r="N2" s="70" t="s">
        <v>312</v>
      </c>
      <c r="O2" s="66" t="s">
        <v>313</v>
      </c>
      <c r="P2" s="66" t="s">
        <v>5</v>
      </c>
      <c r="Q2" s="66" t="s">
        <v>307</v>
      </c>
      <c r="R2" s="66" t="s">
        <v>308</v>
      </c>
      <c r="S2" s="71" t="s">
        <v>1064</v>
      </c>
      <c r="T2" s="66" t="s">
        <v>309</v>
      </c>
      <c r="U2" s="66" t="s">
        <v>310</v>
      </c>
      <c r="V2" s="66" t="s">
        <v>311</v>
      </c>
      <c r="W2" s="70" t="s">
        <v>312</v>
      </c>
      <c r="X2" s="66" t="s">
        <v>313</v>
      </c>
      <c r="Y2" s="66" t="s">
        <v>5</v>
      </c>
      <c r="Z2" s="66"/>
      <c r="AA2" s="66"/>
    </row>
    <row r="3" spans="1:29" ht="39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70"/>
      <c r="O3" s="66"/>
      <c r="P3" s="66"/>
      <c r="Q3" s="66"/>
      <c r="R3" s="66"/>
      <c r="S3" s="66"/>
      <c r="T3" s="66"/>
      <c r="U3" s="66"/>
      <c r="V3" s="66"/>
      <c r="W3" s="70"/>
      <c r="X3" s="66"/>
      <c r="Y3" s="66"/>
      <c r="Z3" s="66"/>
      <c r="AA3" s="66"/>
    </row>
    <row r="4" spans="1:29" ht="15.75" customHeight="1" x14ac:dyDescent="0.25">
      <c r="A4" s="67" t="s">
        <v>13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3"/>
    </row>
    <row r="5" spans="1:29" ht="40.5" customHeight="1" x14ac:dyDescent="0.25">
      <c r="A5" s="7">
        <v>1</v>
      </c>
      <c r="B5" s="8" t="s">
        <v>53</v>
      </c>
      <c r="C5" s="9">
        <v>44938</v>
      </c>
      <c r="D5" s="18" t="s">
        <v>29</v>
      </c>
      <c r="E5" s="5" t="s">
        <v>24</v>
      </c>
      <c r="F5" s="5" t="s">
        <v>25</v>
      </c>
      <c r="G5" s="32"/>
      <c r="H5" s="10">
        <v>1281.8800000000001</v>
      </c>
      <c r="I5" s="10"/>
      <c r="J5" s="10"/>
      <c r="K5" s="10"/>
      <c r="L5" s="10"/>
      <c r="M5" s="11"/>
      <c r="N5" s="11"/>
      <c r="O5" s="33"/>
      <c r="P5" s="33"/>
      <c r="Q5" s="33">
        <v>1281.8800000000001</v>
      </c>
      <c r="R5" s="33"/>
      <c r="S5" s="33"/>
      <c r="T5" s="33"/>
      <c r="U5" s="33"/>
      <c r="V5" s="10"/>
      <c r="W5" s="34"/>
      <c r="X5" s="34"/>
      <c r="Y5" s="34"/>
      <c r="Z5" s="10">
        <f>SUM(Q5:Y5)</f>
        <v>1281.8800000000001</v>
      </c>
      <c r="AA5" s="10">
        <f t="shared" ref="AA5:AA16" si="0">G5-Z5</f>
        <v>-1281.8800000000001</v>
      </c>
      <c r="AB5" s="3"/>
    </row>
    <row r="6" spans="1:29" ht="27.75" customHeight="1" x14ac:dyDescent="0.25">
      <c r="A6" s="7">
        <v>2</v>
      </c>
      <c r="B6" s="8">
        <v>21500106</v>
      </c>
      <c r="C6" s="9">
        <v>44979</v>
      </c>
      <c r="D6" s="18" t="s">
        <v>29</v>
      </c>
      <c r="E6" s="5" t="s">
        <v>24</v>
      </c>
      <c r="F6" s="5" t="s">
        <v>54</v>
      </c>
      <c r="G6" s="32"/>
      <c r="H6" s="10">
        <v>1012.51</v>
      </c>
      <c r="I6" s="10"/>
      <c r="J6" s="10"/>
      <c r="K6" s="10"/>
      <c r="L6" s="10"/>
      <c r="M6" s="11"/>
      <c r="N6" s="11"/>
      <c r="O6" s="33"/>
      <c r="P6" s="33"/>
      <c r="Q6" s="33">
        <v>1012.51</v>
      </c>
      <c r="R6" s="33"/>
      <c r="S6" s="33"/>
      <c r="T6" s="33"/>
      <c r="U6" s="33"/>
      <c r="V6" s="10"/>
      <c r="W6" s="34"/>
      <c r="X6" s="34"/>
      <c r="Y6" s="34"/>
      <c r="Z6" s="10">
        <f t="shared" ref="Z6:Z9" si="1">SUM(Q6:Y6)</f>
        <v>1012.51</v>
      </c>
      <c r="AA6" s="10">
        <f t="shared" si="0"/>
        <v>-1012.51</v>
      </c>
      <c r="AB6" s="3"/>
    </row>
    <row r="7" spans="1:29" ht="39.75" customHeight="1" x14ac:dyDescent="0.25">
      <c r="A7" s="7">
        <v>3</v>
      </c>
      <c r="B7" s="8">
        <v>3133935</v>
      </c>
      <c r="C7" s="9">
        <v>44972</v>
      </c>
      <c r="D7" s="18"/>
      <c r="E7" s="5" t="s">
        <v>537</v>
      </c>
      <c r="F7" s="5" t="s">
        <v>55</v>
      </c>
      <c r="G7" s="32"/>
      <c r="H7" s="10"/>
      <c r="I7" s="10"/>
      <c r="J7" s="10"/>
      <c r="K7" s="10"/>
      <c r="L7" s="10"/>
      <c r="M7" s="11">
        <f>390713.85+383843.59</f>
        <v>774557.44</v>
      </c>
      <c r="N7" s="11"/>
      <c r="O7" s="33"/>
      <c r="P7" s="33"/>
      <c r="Q7" s="11">
        <v>40571.69</v>
      </c>
      <c r="R7" s="11">
        <v>20777.060000000001</v>
      </c>
      <c r="S7" s="11"/>
      <c r="T7" s="33"/>
      <c r="U7" s="33"/>
      <c r="V7" s="10">
        <f>390713.85+383843.59</f>
        <v>774557.44</v>
      </c>
      <c r="W7" s="34"/>
      <c r="X7" s="34"/>
      <c r="Y7" s="34"/>
      <c r="Z7" s="10">
        <f t="shared" si="1"/>
        <v>835906.19</v>
      </c>
      <c r="AA7" s="10">
        <f t="shared" si="0"/>
        <v>-835906.19</v>
      </c>
      <c r="AB7" s="3"/>
    </row>
    <row r="8" spans="1:29" ht="18" customHeight="1" x14ac:dyDescent="0.25">
      <c r="A8" s="7">
        <v>4</v>
      </c>
      <c r="B8" s="8">
        <v>21500106</v>
      </c>
      <c r="C8" s="9">
        <v>45245</v>
      </c>
      <c r="D8" s="18" t="s">
        <v>29</v>
      </c>
      <c r="E8" s="5" t="s">
        <v>538</v>
      </c>
      <c r="F8" s="5" t="s">
        <v>58</v>
      </c>
      <c r="G8" s="32"/>
      <c r="H8" s="10"/>
      <c r="I8" s="10"/>
      <c r="J8" s="10"/>
      <c r="K8" s="10"/>
      <c r="L8" s="10"/>
      <c r="M8" s="11">
        <v>144100.46</v>
      </c>
      <c r="N8" s="11">
        <v>188422.78</v>
      </c>
      <c r="O8" s="33"/>
      <c r="P8" s="33"/>
      <c r="Q8" s="11"/>
      <c r="R8" s="11"/>
      <c r="S8" s="11"/>
      <c r="T8" s="11"/>
      <c r="U8" s="11"/>
      <c r="V8" s="10">
        <v>144100.46</v>
      </c>
      <c r="W8" s="10"/>
      <c r="X8" s="10"/>
      <c r="Y8" s="10"/>
      <c r="Z8" s="10">
        <f t="shared" si="1"/>
        <v>144100.46</v>
      </c>
      <c r="AA8" s="10">
        <f t="shared" si="0"/>
        <v>-144100.46</v>
      </c>
      <c r="AB8" s="3"/>
    </row>
    <row r="9" spans="1:29" ht="30.75" customHeight="1" x14ac:dyDescent="0.25">
      <c r="A9" s="7">
        <v>5</v>
      </c>
      <c r="B9" s="8">
        <v>21500106</v>
      </c>
      <c r="C9" s="9">
        <v>45302</v>
      </c>
      <c r="D9" s="18" t="s">
        <v>42</v>
      </c>
      <c r="E9" s="6" t="s">
        <v>1284</v>
      </c>
      <c r="F9" s="5" t="s">
        <v>58</v>
      </c>
      <c r="G9" s="10">
        <f>1930160-93965.57</f>
        <v>1836194.43</v>
      </c>
      <c r="H9" s="11">
        <f>14881.59+18830.93+1176.28+17696.88-17696.88+17202.42+18295.36+19921.5+16988.85+24441.76+0.01+24745.78</f>
        <v>156484.48000000001</v>
      </c>
      <c r="I9" s="11">
        <f>7721.26+10912.43+9846.04+17696.88+9917.86+9650.39+10014.53+8822.06+11794.54+15522.3</f>
        <v>111898.29</v>
      </c>
      <c r="J9" s="57">
        <f>72134.83+69750.49+74447.15</f>
        <v>216332.47</v>
      </c>
      <c r="K9" s="10"/>
      <c r="L9" s="10"/>
      <c r="M9" s="11">
        <f>1210160+350000-114715.24-93965.57</f>
        <v>1351479.19</v>
      </c>
      <c r="N9" s="11">
        <f>720000-350000+114715.24</f>
        <v>484715.24</v>
      </c>
      <c r="O9" s="11"/>
      <c r="P9" s="11"/>
      <c r="Q9" s="11">
        <f>14881.59+18830.93+1176.28+17696.88-17696.88+17202.42+18295.36+19921.5+16988.85+24441.76+0.01+24745.78</f>
        <v>156484.48000000001</v>
      </c>
      <c r="R9" s="11">
        <f>7721.26+10912.43+9846.04+17696.88+9917.86+9650.39+10014.53+8822.06+11794.54+15522.3</f>
        <v>111898.29</v>
      </c>
      <c r="S9" s="57">
        <f>72134.83+69750.49+74447.15</f>
        <v>216332.47</v>
      </c>
      <c r="T9" s="11"/>
      <c r="U9" s="11"/>
      <c r="V9" s="10">
        <f>146701.12+143362.26-1176.28+131226.24+128165.49+116088.25+117875.13+124679.95+33804.3+162268.7+53634.97+194849.06</f>
        <v>1351479.19</v>
      </c>
      <c r="W9" s="10"/>
      <c r="X9" s="10"/>
      <c r="Y9" s="10"/>
      <c r="Z9" s="10">
        <f t="shared" si="1"/>
        <v>1836194.43</v>
      </c>
      <c r="AA9" s="10">
        <f t="shared" si="0"/>
        <v>0</v>
      </c>
      <c r="AB9" s="3"/>
      <c r="AC9" s="43"/>
    </row>
    <row r="10" spans="1:29" ht="53.25" customHeight="1" x14ac:dyDescent="0.25">
      <c r="A10" s="7">
        <v>6</v>
      </c>
      <c r="B10" s="8" t="s">
        <v>79</v>
      </c>
      <c r="C10" s="9">
        <v>45281</v>
      </c>
      <c r="D10" s="18" t="s">
        <v>42</v>
      </c>
      <c r="E10" s="5" t="s">
        <v>1285</v>
      </c>
      <c r="F10" s="5" t="s">
        <v>55</v>
      </c>
      <c r="G10" s="10">
        <f>4890057.6-639482.1-180369.51-348854.87</f>
        <v>3721351.12</v>
      </c>
      <c r="H10" s="10"/>
      <c r="I10" s="10"/>
      <c r="J10" s="10"/>
      <c r="K10" s="10"/>
      <c r="L10" s="10"/>
      <c r="M10" s="11">
        <f>3448721.1-457313.56</f>
        <v>2991407.54</v>
      </c>
      <c r="N10" s="11">
        <f>1441336.5-639482.1-180369.51+108458.69</f>
        <v>729943.58000000007</v>
      </c>
      <c r="O10" s="11"/>
      <c r="P10" s="11"/>
      <c r="Q10" s="11">
        <f>25855.7+38932.75+36083.57+100000+42283.51+54687.53+58115.1+91489.16+77464.94</f>
        <v>524912.26</v>
      </c>
      <c r="R10" s="11">
        <f>22141.2+20803.21+21590.4+27491.39+30178.29+44148.74+38678.09</f>
        <v>205031.32</v>
      </c>
      <c r="S10" s="11"/>
      <c r="T10" s="11"/>
      <c r="U10" s="11"/>
      <c r="V10" s="10">
        <f>288214.77+268838.68+313376.96+258367.24+323585.22+426502.41+607396.18+505126.08</f>
        <v>2991407.54</v>
      </c>
      <c r="W10" s="10"/>
      <c r="X10" s="10"/>
      <c r="Y10" s="10"/>
      <c r="Z10" s="10">
        <f t="shared" ref="Z10" si="2">SUM(Q10:Y10)</f>
        <v>3721351.12</v>
      </c>
      <c r="AA10" s="10">
        <f t="shared" si="0"/>
        <v>0</v>
      </c>
      <c r="AB10" s="3"/>
    </row>
    <row r="11" spans="1:29" ht="29.25" customHeight="1" x14ac:dyDescent="0.25">
      <c r="A11" s="7">
        <v>7</v>
      </c>
      <c r="B11" s="8">
        <v>21500106</v>
      </c>
      <c r="C11" s="9">
        <v>45292</v>
      </c>
      <c r="D11" s="18" t="s">
        <v>42</v>
      </c>
      <c r="E11" s="5" t="s">
        <v>24</v>
      </c>
      <c r="F11" s="5" t="s">
        <v>147</v>
      </c>
      <c r="G11" s="10">
        <v>12150.12</v>
      </c>
      <c r="H11" s="10">
        <f>1012.51+1012.51+1166.7+1166.7+1166.7+1166.7+1166.7+1166.7+1166.7+1166.7</f>
        <v>11358.62</v>
      </c>
      <c r="I11" s="10"/>
      <c r="J11" s="10"/>
      <c r="K11" s="10"/>
      <c r="L11" s="10"/>
      <c r="M11" s="11"/>
      <c r="N11" s="11"/>
      <c r="O11" s="11"/>
      <c r="P11" s="11"/>
      <c r="Q11" s="10">
        <f>1012.51+1012.51+1166.7+1166.7+1166.7+1166.7+1166.7+1166.7+1166.7+1166.7</f>
        <v>11358.62</v>
      </c>
      <c r="R11" s="11"/>
      <c r="S11" s="10"/>
      <c r="T11" s="11"/>
      <c r="U11" s="11"/>
      <c r="V11" s="10"/>
      <c r="W11" s="10"/>
      <c r="X11" s="10"/>
      <c r="Y11" s="10"/>
      <c r="Z11" s="10">
        <f t="shared" ref="Z11" si="3">SUM(Q11:Y11)</f>
        <v>11358.62</v>
      </c>
      <c r="AA11" s="10">
        <f t="shared" si="0"/>
        <v>791.5</v>
      </c>
      <c r="AB11" s="59">
        <v>1958.2</v>
      </c>
      <c r="AC11" s="44"/>
    </row>
    <row r="12" spans="1:29" ht="37.5" customHeight="1" x14ac:dyDescent="0.25">
      <c r="A12" s="7">
        <v>8</v>
      </c>
      <c r="B12" s="8" t="s">
        <v>53</v>
      </c>
      <c r="C12" s="9">
        <v>45301</v>
      </c>
      <c r="D12" s="18" t="s">
        <v>42</v>
      </c>
      <c r="E12" s="5" t="s">
        <v>24</v>
      </c>
      <c r="F12" s="5" t="s">
        <v>25</v>
      </c>
      <c r="G12" s="10">
        <v>25000</v>
      </c>
      <c r="H12" s="10">
        <f>1272.42+1105.51+993.07+575.14+645.11+1150.96+2011.62+6091.55+5063.29</f>
        <v>18908.670000000002</v>
      </c>
      <c r="I12" s="10"/>
      <c r="J12" s="10">
        <f>2173.03+3906.76</f>
        <v>6079.7900000000009</v>
      </c>
      <c r="K12" s="10"/>
      <c r="L12" s="10"/>
      <c r="M12" s="11"/>
      <c r="N12" s="11"/>
      <c r="O12" s="11"/>
      <c r="P12" s="11"/>
      <c r="Q12" s="10">
        <f>1272.42+1105.51+993.07+575.14+645.11+1150.96+2011.62+6091.55+5063.29</f>
        <v>18908.670000000002</v>
      </c>
      <c r="R12" s="11"/>
      <c r="S12" s="10">
        <f>2173.03+3906.76</f>
        <v>6079.7900000000009</v>
      </c>
      <c r="T12" s="11"/>
      <c r="U12" s="11"/>
      <c r="V12" s="10"/>
      <c r="W12" s="10"/>
      <c r="X12" s="10"/>
      <c r="Y12" s="10"/>
      <c r="Z12" s="10">
        <f t="shared" ref="Z12" si="4">SUM(Q12:Y12)</f>
        <v>24988.460000000003</v>
      </c>
      <c r="AA12" s="10">
        <f t="shared" si="0"/>
        <v>11.539999999997235</v>
      </c>
      <c r="AB12" s="3"/>
    </row>
    <row r="13" spans="1:29" ht="20.25" customHeight="1" x14ac:dyDescent="0.25">
      <c r="A13" s="7">
        <v>9</v>
      </c>
      <c r="B13" s="8">
        <v>21500106</v>
      </c>
      <c r="C13" s="9">
        <v>45562</v>
      </c>
      <c r="D13" s="18" t="s">
        <v>42</v>
      </c>
      <c r="E13" s="6" t="s">
        <v>538</v>
      </c>
      <c r="F13" s="5" t="s">
        <v>58</v>
      </c>
      <c r="G13" s="10">
        <v>1468880</v>
      </c>
      <c r="H13" s="10"/>
      <c r="I13" s="10"/>
      <c r="J13" s="10"/>
      <c r="K13" s="10"/>
      <c r="L13" s="10"/>
      <c r="M13" s="11">
        <v>868880</v>
      </c>
      <c r="N13" s="11">
        <v>600000</v>
      </c>
      <c r="O13" s="11"/>
      <c r="P13" s="11"/>
      <c r="Q13" s="10">
        <f>19547.36+30898.25</f>
        <v>50445.61</v>
      </c>
      <c r="R13" s="11">
        <f>13265.91+15889.99</f>
        <v>29155.9</v>
      </c>
      <c r="S13" s="10">
        <f>74565.25+103798.4</f>
        <v>178363.65</v>
      </c>
      <c r="T13" s="11"/>
      <c r="U13" s="11"/>
      <c r="V13" s="10">
        <f>143818+146628.41</f>
        <v>290446.41000000003</v>
      </c>
      <c r="W13" s="10"/>
      <c r="X13" s="10"/>
      <c r="Y13" s="10"/>
      <c r="Z13" s="10">
        <f t="shared" ref="Z13" si="5">SUM(Q13:Y13)</f>
        <v>548411.57000000007</v>
      </c>
      <c r="AA13" s="10">
        <f t="shared" ref="AA13" si="6">G13-Z13</f>
        <v>920468.42999999993</v>
      </c>
      <c r="AB13" s="3"/>
    </row>
    <row r="14" spans="1:29" ht="40.5" customHeight="1" x14ac:dyDescent="0.25">
      <c r="A14" s="7">
        <v>10</v>
      </c>
      <c r="B14" s="8">
        <v>542</v>
      </c>
      <c r="C14" s="9">
        <v>45527</v>
      </c>
      <c r="D14" s="18" t="s">
        <v>42</v>
      </c>
      <c r="E14" s="6" t="s">
        <v>1371</v>
      </c>
      <c r="F14" s="5" t="s">
        <v>55</v>
      </c>
      <c r="G14" s="10">
        <v>4896836.79</v>
      </c>
      <c r="H14" s="10"/>
      <c r="I14" s="10"/>
      <c r="J14" s="10"/>
      <c r="K14" s="10"/>
      <c r="L14" s="10"/>
      <c r="M14" s="11">
        <v>864671.39</v>
      </c>
      <c r="N14" s="11">
        <v>4032165.4</v>
      </c>
      <c r="O14" s="11"/>
      <c r="P14" s="11"/>
      <c r="Q14" s="10">
        <v>76321.41</v>
      </c>
      <c r="R14" s="11">
        <v>53424.72</v>
      </c>
      <c r="S14" s="10">
        <v>108558.09</v>
      </c>
      <c r="T14" s="11"/>
      <c r="U14" s="11"/>
      <c r="V14" s="10">
        <v>773318.66</v>
      </c>
      <c r="W14" s="10"/>
      <c r="X14" s="10"/>
      <c r="Y14" s="10"/>
      <c r="Z14" s="10">
        <f t="shared" ref="Z14" si="7">SUM(Q14:Y14)</f>
        <v>1011622.88</v>
      </c>
      <c r="AA14" s="10">
        <f t="shared" ref="AA14" si="8">G14-Z14</f>
        <v>3885213.91</v>
      </c>
      <c r="AB14" s="3"/>
    </row>
    <row r="15" spans="1:29" ht="25.5" customHeight="1" x14ac:dyDescent="0.25">
      <c r="A15" s="7">
        <v>11</v>
      </c>
      <c r="B15" s="8" t="s">
        <v>53</v>
      </c>
      <c r="C15" s="9">
        <v>45576</v>
      </c>
      <c r="D15" s="18" t="s">
        <v>42</v>
      </c>
      <c r="E15" s="5" t="s">
        <v>538</v>
      </c>
      <c r="F15" s="5" t="s">
        <v>1463</v>
      </c>
      <c r="G15" s="10">
        <v>20000</v>
      </c>
      <c r="H15" s="10">
        <v>6016.18</v>
      </c>
      <c r="I15" s="10"/>
      <c r="J15" s="10"/>
      <c r="K15" s="10"/>
      <c r="L15" s="10"/>
      <c r="M15" s="11"/>
      <c r="N15" s="11"/>
      <c r="O15" s="11"/>
      <c r="P15" s="11"/>
      <c r="Q15" s="10">
        <v>6016.18</v>
      </c>
      <c r="R15" s="11"/>
      <c r="S15" s="10"/>
      <c r="T15" s="11"/>
      <c r="U15" s="11"/>
      <c r="V15" s="10"/>
      <c r="W15" s="10"/>
      <c r="X15" s="10"/>
      <c r="Y15" s="10"/>
      <c r="Z15" s="10">
        <f t="shared" ref="Z15" si="9">SUM(Q15:Y15)</f>
        <v>6016.18</v>
      </c>
      <c r="AA15" s="10">
        <f t="shared" ref="AA15" si="10">G15-Z15</f>
        <v>13983.82</v>
      </c>
      <c r="AB15" s="3"/>
    </row>
    <row r="16" spans="1:29" ht="17.25" customHeight="1" x14ac:dyDescent="0.25">
      <c r="A16" s="7"/>
      <c r="B16" s="7"/>
      <c r="C16" s="9"/>
      <c r="D16" s="9"/>
      <c r="E16" s="5"/>
      <c r="F16" s="5"/>
      <c r="G16" s="10"/>
      <c r="H16" s="10"/>
      <c r="I16" s="10"/>
      <c r="J16" s="10"/>
      <c r="K16" s="10"/>
      <c r="L16" s="10"/>
      <c r="M16" s="11"/>
      <c r="N16" s="11"/>
      <c r="O16" s="11"/>
      <c r="P16" s="11"/>
      <c r="Q16" s="11"/>
      <c r="R16" s="11"/>
      <c r="S16" s="11"/>
      <c r="T16" s="11"/>
      <c r="U16" s="11"/>
      <c r="V16" s="10"/>
      <c r="W16" s="10"/>
      <c r="X16" s="10"/>
      <c r="Y16" s="10"/>
      <c r="Z16" s="10">
        <f t="shared" ref="Z16" si="11">SUM(Q16:Y16)</f>
        <v>0</v>
      </c>
      <c r="AA16" s="10">
        <f t="shared" si="0"/>
        <v>0</v>
      </c>
      <c r="AB16" s="3"/>
    </row>
    <row r="17" spans="1:28" ht="15.75" customHeight="1" x14ac:dyDescent="0.25">
      <c r="A17" s="62" t="s">
        <v>20</v>
      </c>
      <c r="B17" s="62"/>
      <c r="C17" s="62"/>
      <c r="D17" s="62"/>
      <c r="E17" s="62"/>
      <c r="F17" s="62"/>
      <c r="G17" s="16">
        <f>SUM(G5:G16)</f>
        <v>11980412.460000001</v>
      </c>
      <c r="H17" s="16">
        <f t="shared" ref="H17:AA17" si="12">SUM(H5:H16)</f>
        <v>195062.34000000003</v>
      </c>
      <c r="I17" s="16">
        <f t="shared" si="12"/>
        <v>111898.29</v>
      </c>
      <c r="J17" s="16"/>
      <c r="K17" s="16">
        <f t="shared" si="12"/>
        <v>0</v>
      </c>
      <c r="L17" s="16">
        <f t="shared" si="12"/>
        <v>0</v>
      </c>
      <c r="M17" s="16">
        <f t="shared" si="12"/>
        <v>6995096.0199999996</v>
      </c>
      <c r="N17" s="16">
        <f t="shared" si="12"/>
        <v>6035247</v>
      </c>
      <c r="O17" s="16">
        <f t="shared" si="12"/>
        <v>0</v>
      </c>
      <c r="P17" s="16">
        <f t="shared" si="12"/>
        <v>0</v>
      </c>
      <c r="Q17" s="16">
        <f t="shared" si="12"/>
        <v>887313.31000000017</v>
      </c>
      <c r="R17" s="16">
        <f t="shared" si="12"/>
        <v>420287.29000000004</v>
      </c>
      <c r="S17" s="16"/>
      <c r="T17" s="16">
        <f t="shared" si="12"/>
        <v>0</v>
      </c>
      <c r="U17" s="16">
        <f t="shared" si="12"/>
        <v>0</v>
      </c>
      <c r="V17" s="16">
        <f t="shared" si="12"/>
        <v>6325309.7000000002</v>
      </c>
      <c r="W17" s="16">
        <f t="shared" si="12"/>
        <v>0</v>
      </c>
      <c r="X17" s="16">
        <f t="shared" si="12"/>
        <v>0</v>
      </c>
      <c r="Y17" s="16">
        <f t="shared" si="12"/>
        <v>0</v>
      </c>
      <c r="Z17" s="16">
        <f t="shared" si="12"/>
        <v>8142244.2999999998</v>
      </c>
      <c r="AA17" s="16">
        <f t="shared" si="12"/>
        <v>3838168.16</v>
      </c>
      <c r="AB17" s="3"/>
    </row>
    <row r="19" spans="1:28" x14ac:dyDescent="0.25">
      <c r="N19" s="1"/>
    </row>
    <row r="20" spans="1:28" x14ac:dyDescent="0.25">
      <c r="L20" s="52"/>
    </row>
    <row r="21" spans="1:28" x14ac:dyDescent="0.25">
      <c r="N21" s="1"/>
      <c r="R21" s="52">
        <f>Q9+R9+S9+V9</f>
        <v>1836194.43</v>
      </c>
    </row>
    <row r="22" spans="1:28" x14ac:dyDescent="0.25">
      <c r="S22" s="1"/>
    </row>
    <row r="24" spans="1:28" x14ac:dyDescent="0.25">
      <c r="N24" s="1"/>
      <c r="Q24" s="1"/>
    </row>
    <row r="26" spans="1:28" x14ac:dyDescent="0.25">
      <c r="N26" s="1"/>
    </row>
    <row r="28" spans="1:28" x14ac:dyDescent="0.25">
      <c r="N28" s="1"/>
    </row>
    <row r="30" spans="1:28" x14ac:dyDescent="0.25">
      <c r="N30" s="1"/>
    </row>
  </sheetData>
  <mergeCells count="31">
    <mergeCell ref="F1:F3"/>
    <mergeCell ref="A1:A3"/>
    <mergeCell ref="B1:B3"/>
    <mergeCell ref="C1:C3"/>
    <mergeCell ref="D1:D3"/>
    <mergeCell ref="E1:E3"/>
    <mergeCell ref="Z1:Z3"/>
    <mergeCell ref="AA1:AA3"/>
    <mergeCell ref="H2:H3"/>
    <mergeCell ref="I2:I3"/>
    <mergeCell ref="K2:K3"/>
    <mergeCell ref="L2:L3"/>
    <mergeCell ref="M2:M3"/>
    <mergeCell ref="S2:S3"/>
    <mergeCell ref="J2:J3"/>
    <mergeCell ref="A17:F17"/>
    <mergeCell ref="A4:AA4"/>
    <mergeCell ref="U2:U3"/>
    <mergeCell ref="V2:V3"/>
    <mergeCell ref="W2:W3"/>
    <mergeCell ref="X2:X3"/>
    <mergeCell ref="Y2:Y3"/>
    <mergeCell ref="N2:N3"/>
    <mergeCell ref="O2:O3"/>
    <mergeCell ref="P2:P3"/>
    <mergeCell ref="Q2:Q3"/>
    <mergeCell ref="R2:R3"/>
    <mergeCell ref="T2:T3"/>
    <mergeCell ref="G1:G3"/>
    <mergeCell ref="H1:P1"/>
    <mergeCell ref="Q1:Y1"/>
  </mergeCells>
  <pageMargins left="0.19685039370078741" right="0.19685039370078741" top="0.19685039370078741" bottom="0.19685039370078741" header="0.31496062992125984" footer="0.31496062992125984"/>
  <pageSetup paperSize="9" scale="43" fitToHeight="0" orientation="landscape" horizontalDpi="4294967293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EB17B-5836-4D59-AEBE-FE4A37FDECBF}">
  <sheetPr>
    <pageSetUpPr fitToPage="1"/>
  </sheetPr>
  <dimension ref="A1:Z36"/>
  <sheetViews>
    <sheetView zoomScale="75" zoomScaleNormal="75" workbookViewId="0">
      <pane xSplit="14" ySplit="3" topLeftCell="O20" activePane="bottomRight" state="frozen"/>
      <selection pane="topRight" activeCell="J1" sqref="J1"/>
      <selection pane="bottomLeft" activeCell="A14" sqref="A14"/>
      <selection pane="bottomRight" activeCell="H1" sqref="A1:XFD39"/>
    </sheetView>
  </sheetViews>
  <sheetFormatPr defaultRowHeight="15" x14ac:dyDescent="0.25"/>
  <cols>
    <col min="1" max="1" width="3.7109375" customWidth="1"/>
    <col min="2" max="2" width="8.85546875" customWidth="1"/>
    <col min="3" max="3" width="7.7109375" customWidth="1"/>
    <col min="4" max="4" width="8.140625" customWidth="1"/>
    <col min="5" max="5" width="28.140625" customWidth="1"/>
    <col min="6" max="6" width="31.85546875" customWidth="1"/>
    <col min="7" max="7" width="13.28515625" customWidth="1"/>
    <col min="8" max="8" width="12.5703125" customWidth="1"/>
    <col min="9" max="9" width="12.140625" customWidth="1"/>
    <col min="10" max="10" width="12.5703125" customWidth="1"/>
    <col min="11" max="11" width="12.140625" customWidth="1"/>
    <col min="12" max="13" width="12.7109375" customWidth="1"/>
    <col min="14" max="14" width="11.7109375" customWidth="1"/>
    <col min="15" max="15" width="11.28515625" customWidth="1"/>
    <col min="16" max="17" width="12" customWidth="1"/>
    <col min="18" max="18" width="11.42578125" customWidth="1"/>
    <col min="19" max="19" width="12" customWidth="1"/>
    <col min="20" max="21" width="11.5703125" customWidth="1"/>
    <col min="22" max="22" width="11.85546875" customWidth="1"/>
    <col min="23" max="23" width="11.140625" customWidth="1"/>
    <col min="24" max="24" width="12.42578125" customWidth="1"/>
    <col min="25" max="26" width="13" customWidth="1"/>
    <col min="27" max="27" width="9.140625" customWidth="1"/>
  </cols>
  <sheetData>
    <row r="1" spans="1:26" ht="15" customHeight="1" x14ac:dyDescent="0.25">
      <c r="A1" s="66" t="s">
        <v>0</v>
      </c>
      <c r="B1" s="66" t="s">
        <v>1</v>
      </c>
      <c r="C1" s="66" t="s">
        <v>22</v>
      </c>
      <c r="D1" s="66" t="s">
        <v>21</v>
      </c>
      <c r="E1" s="66" t="s">
        <v>289</v>
      </c>
      <c r="F1" s="66" t="s">
        <v>3</v>
      </c>
      <c r="G1" s="66" t="s">
        <v>4</v>
      </c>
      <c r="H1" s="66" t="s">
        <v>7</v>
      </c>
      <c r="I1" s="66"/>
      <c r="J1" s="66"/>
      <c r="K1" s="66"/>
      <c r="L1" s="66"/>
      <c r="M1" s="66"/>
      <c r="N1" s="66"/>
      <c r="O1" s="66"/>
      <c r="P1" s="66" t="s">
        <v>314</v>
      </c>
      <c r="Q1" s="66"/>
      <c r="R1" s="66"/>
      <c r="S1" s="66"/>
      <c r="T1" s="66"/>
      <c r="U1" s="66"/>
      <c r="V1" s="66"/>
      <c r="W1" s="66"/>
      <c r="X1" s="66" t="s">
        <v>6</v>
      </c>
      <c r="Y1" s="66" t="s">
        <v>315</v>
      </c>
    </row>
    <row r="2" spans="1:26" ht="27.75" customHeight="1" x14ac:dyDescent="0.25">
      <c r="A2" s="66"/>
      <c r="B2" s="66"/>
      <c r="C2" s="66"/>
      <c r="D2" s="66"/>
      <c r="E2" s="66"/>
      <c r="F2" s="66"/>
      <c r="G2" s="66"/>
      <c r="H2" s="66" t="s">
        <v>307</v>
      </c>
      <c r="I2" s="66" t="s">
        <v>308</v>
      </c>
      <c r="J2" s="66" t="s">
        <v>309</v>
      </c>
      <c r="K2" s="66" t="s">
        <v>310</v>
      </c>
      <c r="L2" s="66" t="s">
        <v>311</v>
      </c>
      <c r="M2" s="70" t="s">
        <v>312</v>
      </c>
      <c r="N2" s="66" t="s">
        <v>313</v>
      </c>
      <c r="O2" s="66" t="s">
        <v>5</v>
      </c>
      <c r="P2" s="66" t="s">
        <v>307</v>
      </c>
      <c r="Q2" s="66" t="s">
        <v>308</v>
      </c>
      <c r="R2" s="66" t="s">
        <v>309</v>
      </c>
      <c r="S2" s="66" t="s">
        <v>310</v>
      </c>
      <c r="T2" s="66" t="s">
        <v>311</v>
      </c>
      <c r="U2" s="70" t="s">
        <v>312</v>
      </c>
      <c r="V2" s="66" t="s">
        <v>313</v>
      </c>
      <c r="W2" s="66" t="s">
        <v>5</v>
      </c>
      <c r="X2" s="66"/>
      <c r="Y2" s="66"/>
    </row>
    <row r="3" spans="1:26" ht="39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70"/>
      <c r="N3" s="66"/>
      <c r="O3" s="66"/>
      <c r="P3" s="66"/>
      <c r="Q3" s="66"/>
      <c r="R3" s="66"/>
      <c r="S3" s="66"/>
      <c r="T3" s="66"/>
      <c r="U3" s="70"/>
      <c r="V3" s="66"/>
      <c r="W3" s="66"/>
      <c r="X3" s="66"/>
      <c r="Y3" s="66"/>
    </row>
    <row r="4" spans="1:26" ht="15.75" customHeight="1" x14ac:dyDescent="0.25">
      <c r="A4" s="67" t="s">
        <v>30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3"/>
    </row>
    <row r="5" spans="1:26" ht="51" x14ac:dyDescent="0.25">
      <c r="A5" s="8">
        <v>1</v>
      </c>
      <c r="B5" s="12" t="s">
        <v>75</v>
      </c>
      <c r="C5" s="13">
        <v>45306</v>
      </c>
      <c r="D5" s="12" t="s">
        <v>42</v>
      </c>
      <c r="E5" s="6" t="s">
        <v>76</v>
      </c>
      <c r="F5" s="6" t="s">
        <v>77</v>
      </c>
      <c r="G5" s="10">
        <v>1450</v>
      </c>
      <c r="H5" s="10">
        <v>1450</v>
      </c>
      <c r="I5" s="10"/>
      <c r="J5" s="10"/>
      <c r="K5" s="10"/>
      <c r="L5" s="10"/>
      <c r="M5" s="10"/>
      <c r="N5" s="34"/>
      <c r="O5" s="34"/>
      <c r="P5" s="10">
        <v>1450</v>
      </c>
      <c r="Q5" s="10"/>
      <c r="R5" s="10"/>
      <c r="S5" s="10"/>
      <c r="T5" s="10"/>
      <c r="U5" s="10"/>
      <c r="V5" s="10"/>
      <c r="W5" s="10"/>
      <c r="X5" s="10">
        <f t="shared" ref="X5:X19" si="0">SUM(P5:W5)</f>
        <v>1450</v>
      </c>
      <c r="Y5" s="10">
        <f t="shared" ref="Y5:Y19" si="1">G5-X5</f>
        <v>0</v>
      </c>
      <c r="Z5" s="3"/>
    </row>
    <row r="6" spans="1:26" ht="51" x14ac:dyDescent="0.25">
      <c r="A6" s="8">
        <v>2</v>
      </c>
      <c r="B6" s="12" t="s">
        <v>105</v>
      </c>
      <c r="C6" s="13">
        <v>45313</v>
      </c>
      <c r="D6" s="12" t="s">
        <v>42</v>
      </c>
      <c r="E6" s="6" t="s">
        <v>106</v>
      </c>
      <c r="F6" s="6" t="s">
        <v>107</v>
      </c>
      <c r="G6" s="10">
        <v>395</v>
      </c>
      <c r="H6" s="10">
        <v>395</v>
      </c>
      <c r="I6" s="10"/>
      <c r="J6" s="10"/>
      <c r="K6" s="10"/>
      <c r="L6" s="10"/>
      <c r="M6" s="10"/>
      <c r="N6" s="34"/>
      <c r="O6" s="34"/>
      <c r="P6" s="10">
        <v>395</v>
      </c>
      <c r="Q6" s="10"/>
      <c r="R6" s="10"/>
      <c r="S6" s="10"/>
      <c r="T6" s="10"/>
      <c r="U6" s="10"/>
      <c r="V6" s="10"/>
      <c r="W6" s="10"/>
      <c r="X6" s="10">
        <f t="shared" si="0"/>
        <v>395</v>
      </c>
      <c r="Y6" s="10">
        <f t="shared" si="1"/>
        <v>0</v>
      </c>
      <c r="Z6" s="3"/>
    </row>
    <row r="7" spans="1:26" ht="38.25" x14ac:dyDescent="0.25">
      <c r="A7" s="8">
        <v>3</v>
      </c>
      <c r="B7" s="12" t="s">
        <v>163</v>
      </c>
      <c r="C7" s="13">
        <v>45321</v>
      </c>
      <c r="D7" s="12" t="s">
        <v>42</v>
      </c>
      <c r="E7" s="6" t="s">
        <v>106</v>
      </c>
      <c r="F7" s="6" t="s">
        <v>164</v>
      </c>
      <c r="G7" s="10">
        <v>1975</v>
      </c>
      <c r="H7" s="10">
        <v>1975</v>
      </c>
      <c r="I7" s="10"/>
      <c r="J7" s="10"/>
      <c r="K7" s="10"/>
      <c r="L7" s="10"/>
      <c r="M7" s="10"/>
      <c r="N7" s="34"/>
      <c r="O7" s="34"/>
      <c r="P7" s="10">
        <v>1975</v>
      </c>
      <c r="Q7" s="10"/>
      <c r="R7" s="10"/>
      <c r="S7" s="10"/>
      <c r="T7" s="10"/>
      <c r="U7" s="10"/>
      <c r="V7" s="10"/>
      <c r="W7" s="10"/>
      <c r="X7" s="10">
        <f t="shared" si="0"/>
        <v>1975</v>
      </c>
      <c r="Y7" s="10">
        <f t="shared" si="1"/>
        <v>0</v>
      </c>
      <c r="Z7" s="3"/>
    </row>
    <row r="8" spans="1:26" ht="51" x14ac:dyDescent="0.25">
      <c r="A8" s="8">
        <v>4</v>
      </c>
      <c r="B8" s="12" t="s">
        <v>165</v>
      </c>
      <c r="C8" s="13">
        <v>45321</v>
      </c>
      <c r="D8" s="12" t="s">
        <v>42</v>
      </c>
      <c r="E8" s="6" t="s">
        <v>106</v>
      </c>
      <c r="F8" s="6" t="s">
        <v>166</v>
      </c>
      <c r="G8" s="10">
        <v>790</v>
      </c>
      <c r="H8" s="10">
        <v>790</v>
      </c>
      <c r="I8" s="10"/>
      <c r="J8" s="10"/>
      <c r="K8" s="10"/>
      <c r="L8" s="10"/>
      <c r="M8" s="10"/>
      <c r="N8" s="34"/>
      <c r="O8" s="34"/>
      <c r="P8" s="10">
        <v>790</v>
      </c>
      <c r="Q8" s="10"/>
      <c r="R8" s="10"/>
      <c r="S8" s="10"/>
      <c r="T8" s="10"/>
      <c r="U8" s="10"/>
      <c r="V8" s="10"/>
      <c r="W8" s="10"/>
      <c r="X8" s="10">
        <f t="shared" si="0"/>
        <v>790</v>
      </c>
      <c r="Y8" s="10">
        <f t="shared" si="1"/>
        <v>0</v>
      </c>
      <c r="Z8" s="3"/>
    </row>
    <row r="9" spans="1:26" ht="38.25" x14ac:dyDescent="0.25">
      <c r="A9" s="8">
        <v>5</v>
      </c>
      <c r="B9" s="12" t="s">
        <v>185</v>
      </c>
      <c r="C9" s="13">
        <v>45323</v>
      </c>
      <c r="D9" s="12" t="s">
        <v>42</v>
      </c>
      <c r="E9" s="6" t="s">
        <v>106</v>
      </c>
      <c r="F9" s="6" t="s">
        <v>186</v>
      </c>
      <c r="G9" s="10">
        <v>395</v>
      </c>
      <c r="H9" s="10">
        <v>395</v>
      </c>
      <c r="I9" s="10"/>
      <c r="J9" s="10"/>
      <c r="K9" s="10"/>
      <c r="L9" s="10"/>
      <c r="M9" s="10"/>
      <c r="N9" s="34"/>
      <c r="O9" s="34"/>
      <c r="P9" s="10">
        <v>395</v>
      </c>
      <c r="Q9" s="10"/>
      <c r="R9" s="10"/>
      <c r="S9" s="10"/>
      <c r="T9" s="10"/>
      <c r="U9" s="10"/>
      <c r="V9" s="10"/>
      <c r="W9" s="10"/>
      <c r="X9" s="10">
        <f t="shared" si="0"/>
        <v>395</v>
      </c>
      <c r="Y9" s="10">
        <f t="shared" si="1"/>
        <v>0</v>
      </c>
      <c r="Z9" s="3"/>
    </row>
    <row r="10" spans="1:26" ht="38.25" x14ac:dyDescent="0.25">
      <c r="A10" s="8">
        <v>6</v>
      </c>
      <c r="B10" s="12" t="s">
        <v>187</v>
      </c>
      <c r="C10" s="13">
        <v>45324</v>
      </c>
      <c r="D10" s="12" t="s">
        <v>42</v>
      </c>
      <c r="E10" s="6" t="s">
        <v>106</v>
      </c>
      <c r="F10" s="6" t="s">
        <v>186</v>
      </c>
      <c r="G10" s="10">
        <v>790</v>
      </c>
      <c r="H10" s="10">
        <v>790</v>
      </c>
      <c r="I10" s="10"/>
      <c r="J10" s="10"/>
      <c r="K10" s="10"/>
      <c r="L10" s="10"/>
      <c r="M10" s="10"/>
      <c r="N10" s="34"/>
      <c r="O10" s="34"/>
      <c r="P10" s="10">
        <v>790</v>
      </c>
      <c r="Q10" s="10"/>
      <c r="R10" s="10"/>
      <c r="S10" s="10"/>
      <c r="T10" s="10"/>
      <c r="U10" s="10"/>
      <c r="V10" s="10"/>
      <c r="W10" s="10"/>
      <c r="X10" s="10">
        <f t="shared" si="0"/>
        <v>790</v>
      </c>
      <c r="Y10" s="10">
        <f t="shared" si="1"/>
        <v>0</v>
      </c>
      <c r="Z10" s="3"/>
    </row>
    <row r="11" spans="1:26" ht="51" x14ac:dyDescent="0.25">
      <c r="A11" s="8">
        <v>7</v>
      </c>
      <c r="B11" s="12" t="s">
        <v>318</v>
      </c>
      <c r="C11" s="13">
        <v>45348</v>
      </c>
      <c r="D11" s="12" t="s">
        <v>42</v>
      </c>
      <c r="E11" s="6" t="s">
        <v>106</v>
      </c>
      <c r="F11" s="6" t="s">
        <v>319</v>
      </c>
      <c r="G11" s="10">
        <v>870</v>
      </c>
      <c r="H11" s="10">
        <v>870</v>
      </c>
      <c r="I11" s="10"/>
      <c r="J11" s="10"/>
      <c r="K11" s="10"/>
      <c r="L11" s="10"/>
      <c r="M11" s="10"/>
      <c r="N11" s="34"/>
      <c r="O11" s="34"/>
      <c r="P11" s="10">
        <v>870</v>
      </c>
      <c r="Q11" s="10"/>
      <c r="R11" s="10"/>
      <c r="S11" s="10"/>
      <c r="T11" s="10"/>
      <c r="U11" s="10"/>
      <c r="V11" s="10"/>
      <c r="W11" s="10"/>
      <c r="X11" s="10">
        <f t="shared" si="0"/>
        <v>870</v>
      </c>
      <c r="Y11" s="10">
        <f t="shared" si="1"/>
        <v>0</v>
      </c>
      <c r="Z11" s="3"/>
    </row>
    <row r="12" spans="1:26" ht="38.25" x14ac:dyDescent="0.25">
      <c r="A12" s="8">
        <v>8</v>
      </c>
      <c r="B12" s="12" t="s">
        <v>380</v>
      </c>
      <c r="C12" s="13">
        <v>45168</v>
      </c>
      <c r="D12" s="12" t="s">
        <v>42</v>
      </c>
      <c r="E12" s="6" t="s">
        <v>381</v>
      </c>
      <c r="F12" s="6" t="s">
        <v>382</v>
      </c>
      <c r="G12" s="10">
        <v>34200</v>
      </c>
      <c r="H12" s="10"/>
      <c r="I12" s="10">
        <v>34200</v>
      </c>
      <c r="J12" s="10"/>
      <c r="K12" s="10"/>
      <c r="L12" s="10"/>
      <c r="M12" s="10"/>
      <c r="N12" s="34"/>
      <c r="O12" s="34"/>
      <c r="P12" s="10"/>
      <c r="Q12" s="10">
        <v>34200</v>
      </c>
      <c r="R12" s="10"/>
      <c r="S12" s="10"/>
      <c r="T12" s="10"/>
      <c r="U12" s="10"/>
      <c r="V12" s="10"/>
      <c r="W12" s="10"/>
      <c r="X12" s="10">
        <f t="shared" si="0"/>
        <v>34200</v>
      </c>
      <c r="Y12" s="10">
        <f t="shared" si="1"/>
        <v>0</v>
      </c>
      <c r="Z12" s="3"/>
    </row>
    <row r="13" spans="1:26" ht="38.25" x14ac:dyDescent="0.25">
      <c r="A13" s="8">
        <v>9</v>
      </c>
      <c r="B13" s="12" t="s">
        <v>421</v>
      </c>
      <c r="C13" s="13">
        <v>45358</v>
      </c>
      <c r="D13" s="12" t="s">
        <v>42</v>
      </c>
      <c r="E13" s="6" t="s">
        <v>106</v>
      </c>
      <c r="F13" s="6" t="s">
        <v>164</v>
      </c>
      <c r="G13" s="10">
        <v>435</v>
      </c>
      <c r="H13" s="10">
        <v>435</v>
      </c>
      <c r="I13" s="10"/>
      <c r="J13" s="10"/>
      <c r="K13" s="10"/>
      <c r="L13" s="10"/>
      <c r="M13" s="10"/>
      <c r="N13" s="34"/>
      <c r="O13" s="34"/>
      <c r="P13" s="10">
        <v>435</v>
      </c>
      <c r="Q13" s="10"/>
      <c r="R13" s="10"/>
      <c r="S13" s="10"/>
      <c r="T13" s="10"/>
      <c r="U13" s="10"/>
      <c r="V13" s="10"/>
      <c r="W13" s="10"/>
      <c r="X13" s="10">
        <f t="shared" si="0"/>
        <v>435</v>
      </c>
      <c r="Y13" s="10">
        <f t="shared" si="1"/>
        <v>0</v>
      </c>
      <c r="Z13" s="3"/>
    </row>
    <row r="14" spans="1:26" ht="51" x14ac:dyDescent="0.25">
      <c r="A14" s="8">
        <v>10</v>
      </c>
      <c r="B14" s="12" t="s">
        <v>221</v>
      </c>
      <c r="C14" s="13">
        <v>45359</v>
      </c>
      <c r="D14" s="12" t="s">
        <v>42</v>
      </c>
      <c r="E14" s="6" t="s">
        <v>427</v>
      </c>
      <c r="F14" s="6" t="s">
        <v>428</v>
      </c>
      <c r="G14" s="10">
        <v>508</v>
      </c>
      <c r="H14" s="10"/>
      <c r="I14" s="10">
        <v>508</v>
      </c>
      <c r="J14" s="10"/>
      <c r="K14" s="10"/>
      <c r="L14" s="10"/>
      <c r="M14" s="10"/>
      <c r="N14" s="34"/>
      <c r="O14" s="34"/>
      <c r="P14" s="10"/>
      <c r="Q14" s="10">
        <v>508</v>
      </c>
      <c r="R14" s="10"/>
      <c r="S14" s="10"/>
      <c r="T14" s="10"/>
      <c r="U14" s="10"/>
      <c r="V14" s="10"/>
      <c r="W14" s="10"/>
      <c r="X14" s="10">
        <f t="shared" si="0"/>
        <v>508</v>
      </c>
      <c r="Y14" s="10">
        <f t="shared" si="1"/>
        <v>0</v>
      </c>
      <c r="Z14" s="3"/>
    </row>
    <row r="15" spans="1:26" ht="51" x14ac:dyDescent="0.25">
      <c r="A15" s="8">
        <v>11</v>
      </c>
      <c r="B15" s="12" t="s">
        <v>485</v>
      </c>
      <c r="C15" s="13">
        <v>45372</v>
      </c>
      <c r="D15" s="12" t="s">
        <v>42</v>
      </c>
      <c r="E15" s="6" t="s">
        <v>106</v>
      </c>
      <c r="F15" s="6" t="s">
        <v>549</v>
      </c>
      <c r="G15" s="10">
        <v>435</v>
      </c>
      <c r="H15" s="10">
        <v>435</v>
      </c>
      <c r="I15" s="10"/>
      <c r="J15" s="10"/>
      <c r="K15" s="10"/>
      <c r="L15" s="10"/>
      <c r="M15" s="10"/>
      <c r="N15" s="34"/>
      <c r="O15" s="34"/>
      <c r="P15" s="10">
        <v>435</v>
      </c>
      <c r="Q15" s="10"/>
      <c r="R15" s="10"/>
      <c r="S15" s="10"/>
      <c r="T15" s="10"/>
      <c r="U15" s="10"/>
      <c r="V15" s="10"/>
      <c r="W15" s="10"/>
      <c r="X15" s="10">
        <f t="shared" si="0"/>
        <v>435</v>
      </c>
      <c r="Y15" s="10">
        <f t="shared" si="1"/>
        <v>0</v>
      </c>
      <c r="Z15" s="3"/>
    </row>
    <row r="16" spans="1:26" ht="25.5" x14ac:dyDescent="0.25">
      <c r="A16" s="8">
        <v>12</v>
      </c>
      <c r="B16" s="12" t="s">
        <v>551</v>
      </c>
      <c r="C16" s="13">
        <v>45372</v>
      </c>
      <c r="D16" s="12"/>
      <c r="E16" s="6" t="s">
        <v>552</v>
      </c>
      <c r="F16" s="6" t="s">
        <v>554</v>
      </c>
      <c r="G16" s="10">
        <v>2500</v>
      </c>
      <c r="H16" s="10">
        <v>2500</v>
      </c>
      <c r="I16" s="10"/>
      <c r="J16" s="10"/>
      <c r="K16" s="10"/>
      <c r="L16" s="10"/>
      <c r="M16" s="10"/>
      <c r="N16" s="34"/>
      <c r="O16" s="34"/>
      <c r="P16" s="10">
        <v>2500</v>
      </c>
      <c r="Q16" s="10"/>
      <c r="R16" s="10"/>
      <c r="S16" s="10"/>
      <c r="T16" s="10"/>
      <c r="U16" s="10"/>
      <c r="V16" s="10"/>
      <c r="W16" s="10"/>
      <c r="X16" s="10">
        <f t="shared" si="0"/>
        <v>2500</v>
      </c>
      <c r="Y16" s="10">
        <f t="shared" si="1"/>
        <v>0</v>
      </c>
      <c r="Z16" s="3"/>
    </row>
    <row r="17" spans="1:26" ht="40.5" customHeight="1" x14ac:dyDescent="0.25">
      <c r="A17" s="8">
        <v>13</v>
      </c>
      <c r="B17" s="12" t="s">
        <v>555</v>
      </c>
      <c r="C17" s="13">
        <v>45376</v>
      </c>
      <c r="D17" s="12" t="s">
        <v>42</v>
      </c>
      <c r="E17" s="6" t="s">
        <v>106</v>
      </c>
      <c r="F17" s="6" t="s">
        <v>556</v>
      </c>
      <c r="G17" s="10">
        <v>1305</v>
      </c>
      <c r="H17" s="10">
        <v>1305</v>
      </c>
      <c r="I17" s="10"/>
      <c r="J17" s="10"/>
      <c r="K17" s="10"/>
      <c r="L17" s="10"/>
      <c r="M17" s="10"/>
      <c r="N17" s="34"/>
      <c r="O17" s="34"/>
      <c r="P17" s="10">
        <v>1305</v>
      </c>
      <c r="Q17" s="10"/>
      <c r="R17" s="10"/>
      <c r="S17" s="10"/>
      <c r="T17" s="10"/>
      <c r="U17" s="10"/>
      <c r="V17" s="10"/>
      <c r="W17" s="10"/>
      <c r="X17" s="10">
        <f t="shared" si="0"/>
        <v>1305</v>
      </c>
      <c r="Y17" s="10">
        <f t="shared" si="1"/>
        <v>0</v>
      </c>
      <c r="Z17" s="3"/>
    </row>
    <row r="18" spans="1:26" ht="20.25" customHeight="1" x14ac:dyDescent="0.25">
      <c r="A18" s="8">
        <v>14</v>
      </c>
      <c r="B18" s="12" t="s">
        <v>572</v>
      </c>
      <c r="C18" s="13">
        <v>45376</v>
      </c>
      <c r="D18" s="12" t="s">
        <v>42</v>
      </c>
      <c r="E18" s="6" t="s">
        <v>573</v>
      </c>
      <c r="F18" s="6" t="s">
        <v>574</v>
      </c>
      <c r="G18" s="10">
        <v>9700</v>
      </c>
      <c r="H18" s="10"/>
      <c r="I18" s="10">
        <v>9700</v>
      </c>
      <c r="J18" s="10"/>
      <c r="K18" s="10"/>
      <c r="L18" s="10"/>
      <c r="M18" s="10"/>
      <c r="N18" s="34"/>
      <c r="O18" s="34"/>
      <c r="P18" s="10"/>
      <c r="Q18" s="10">
        <v>9700</v>
      </c>
      <c r="R18" s="10"/>
      <c r="S18" s="10"/>
      <c r="T18" s="10"/>
      <c r="U18" s="10"/>
      <c r="V18" s="10"/>
      <c r="W18" s="10"/>
      <c r="X18" s="10">
        <f t="shared" si="0"/>
        <v>9700</v>
      </c>
      <c r="Y18" s="10">
        <f t="shared" si="1"/>
        <v>0</v>
      </c>
      <c r="Z18" s="3"/>
    </row>
    <row r="19" spans="1:26" ht="39" customHeight="1" x14ac:dyDescent="0.25">
      <c r="A19" s="8">
        <v>15</v>
      </c>
      <c r="B19" s="12" t="s">
        <v>742</v>
      </c>
      <c r="C19" s="13">
        <v>45407</v>
      </c>
      <c r="D19" s="12" t="s">
        <v>42</v>
      </c>
      <c r="E19" s="6" t="s">
        <v>106</v>
      </c>
      <c r="F19" s="6" t="s">
        <v>743</v>
      </c>
      <c r="G19" s="10">
        <v>701</v>
      </c>
      <c r="H19" s="10"/>
      <c r="I19" s="10"/>
      <c r="J19" s="10"/>
      <c r="K19" s="10"/>
      <c r="L19" s="10"/>
      <c r="M19" s="10"/>
      <c r="N19" s="34"/>
      <c r="O19" s="34">
        <v>701</v>
      </c>
      <c r="P19" s="10"/>
      <c r="Q19" s="10"/>
      <c r="R19" s="10"/>
      <c r="S19" s="10"/>
      <c r="T19" s="10"/>
      <c r="U19" s="10"/>
      <c r="V19" s="10"/>
      <c r="W19" s="10">
        <v>701</v>
      </c>
      <c r="X19" s="10">
        <f t="shared" si="0"/>
        <v>701</v>
      </c>
      <c r="Y19" s="10">
        <f t="shared" si="1"/>
        <v>0</v>
      </c>
      <c r="Z19" s="3"/>
    </row>
    <row r="20" spans="1:26" ht="78" customHeight="1" x14ac:dyDescent="0.25">
      <c r="A20" s="8">
        <v>16</v>
      </c>
      <c r="B20" s="12" t="s">
        <v>775</v>
      </c>
      <c r="C20" s="13">
        <v>45408</v>
      </c>
      <c r="D20" s="12" t="s">
        <v>42</v>
      </c>
      <c r="E20" s="6" t="s">
        <v>427</v>
      </c>
      <c r="F20" s="6" t="s">
        <v>776</v>
      </c>
      <c r="G20" s="10">
        <v>948</v>
      </c>
      <c r="H20" s="10">
        <v>948</v>
      </c>
      <c r="I20" s="10"/>
      <c r="J20" s="10"/>
      <c r="K20" s="10"/>
      <c r="L20" s="10"/>
      <c r="M20" s="10"/>
      <c r="N20" s="34"/>
      <c r="O20" s="34"/>
      <c r="P20" s="10">
        <v>948</v>
      </c>
      <c r="Q20" s="10"/>
      <c r="R20" s="10"/>
      <c r="S20" s="10"/>
      <c r="T20" s="10"/>
      <c r="U20" s="10"/>
      <c r="V20" s="10"/>
      <c r="W20" s="10"/>
      <c r="X20" s="10">
        <f t="shared" ref="X20" si="2">SUM(P20:W20)</f>
        <v>948</v>
      </c>
      <c r="Y20" s="10">
        <f t="shared" ref="Y20" si="3">G20-X20</f>
        <v>0</v>
      </c>
      <c r="Z20" s="3"/>
    </row>
    <row r="21" spans="1:26" ht="27.75" customHeight="1" x14ac:dyDescent="0.25">
      <c r="A21" s="8">
        <v>17</v>
      </c>
      <c r="B21" s="12" t="s">
        <v>875</v>
      </c>
      <c r="C21" s="13">
        <v>45428</v>
      </c>
      <c r="D21" s="12" t="s">
        <v>42</v>
      </c>
      <c r="E21" s="6" t="s">
        <v>876</v>
      </c>
      <c r="F21" s="6" t="s">
        <v>877</v>
      </c>
      <c r="G21" s="10">
        <v>2000</v>
      </c>
      <c r="H21" s="10">
        <v>2000</v>
      </c>
      <c r="I21" s="10"/>
      <c r="J21" s="10"/>
      <c r="K21" s="10"/>
      <c r="L21" s="10"/>
      <c r="M21" s="10"/>
      <c r="N21" s="34"/>
      <c r="O21" s="34"/>
      <c r="P21" s="10">
        <v>2000</v>
      </c>
      <c r="Q21" s="10"/>
      <c r="R21" s="10"/>
      <c r="S21" s="10"/>
      <c r="T21" s="10"/>
      <c r="U21" s="10"/>
      <c r="V21" s="10"/>
      <c r="W21" s="10"/>
      <c r="X21" s="10">
        <f t="shared" ref="X21" si="4">SUM(P21:W21)</f>
        <v>2000</v>
      </c>
      <c r="Y21" s="10">
        <f t="shared" ref="Y21" si="5">G21-X21</f>
        <v>0</v>
      </c>
      <c r="Z21" s="3"/>
    </row>
    <row r="22" spans="1:26" ht="51.75" customHeight="1" x14ac:dyDescent="0.25">
      <c r="A22" s="8">
        <v>18</v>
      </c>
      <c r="B22" s="12" t="s">
        <v>878</v>
      </c>
      <c r="C22" s="13">
        <v>45433</v>
      </c>
      <c r="D22" s="12" t="s">
        <v>42</v>
      </c>
      <c r="E22" s="6" t="s">
        <v>106</v>
      </c>
      <c r="F22" s="6" t="s">
        <v>879</v>
      </c>
      <c r="G22" s="10">
        <v>957</v>
      </c>
      <c r="H22" s="10">
        <v>957</v>
      </c>
      <c r="I22" s="10"/>
      <c r="J22" s="10"/>
      <c r="K22" s="10"/>
      <c r="L22" s="10"/>
      <c r="M22" s="10"/>
      <c r="N22" s="34"/>
      <c r="O22" s="34"/>
      <c r="P22" s="10">
        <v>957</v>
      </c>
      <c r="Q22" s="10"/>
      <c r="R22" s="10"/>
      <c r="S22" s="10"/>
      <c r="T22" s="10"/>
      <c r="U22" s="10"/>
      <c r="V22" s="10"/>
      <c r="W22" s="10"/>
      <c r="X22" s="10">
        <f t="shared" ref="X22" si="6">SUM(P22:W22)</f>
        <v>957</v>
      </c>
      <c r="Y22" s="10">
        <f t="shared" ref="Y22" si="7">G22-X22</f>
        <v>0</v>
      </c>
      <c r="Z22" s="3"/>
    </row>
    <row r="23" spans="1:26" ht="27" customHeight="1" x14ac:dyDescent="0.25">
      <c r="A23" s="8">
        <v>19</v>
      </c>
      <c r="B23" s="12" t="s">
        <v>895</v>
      </c>
      <c r="C23" s="13">
        <v>45440</v>
      </c>
      <c r="D23" s="12" t="s">
        <v>896</v>
      </c>
      <c r="E23" s="6" t="s">
        <v>552</v>
      </c>
      <c r="F23" s="6" t="s">
        <v>897</v>
      </c>
      <c r="G23" s="10">
        <v>2500</v>
      </c>
      <c r="H23" s="10">
        <v>2500</v>
      </c>
      <c r="I23" s="10"/>
      <c r="J23" s="10"/>
      <c r="K23" s="10"/>
      <c r="L23" s="10"/>
      <c r="M23" s="10"/>
      <c r="N23" s="34"/>
      <c r="O23" s="34"/>
      <c r="P23" s="10">
        <v>2500</v>
      </c>
      <c r="Q23" s="10"/>
      <c r="R23" s="10"/>
      <c r="S23" s="10"/>
      <c r="T23" s="10"/>
      <c r="U23" s="10"/>
      <c r="V23" s="10"/>
      <c r="W23" s="10"/>
      <c r="X23" s="10">
        <f t="shared" ref="X23" si="8">SUM(P23:W23)</f>
        <v>2500</v>
      </c>
      <c r="Y23" s="10">
        <f t="shared" ref="Y23" si="9">G23-X23</f>
        <v>0</v>
      </c>
      <c r="Z23" s="3"/>
    </row>
    <row r="24" spans="1:26" ht="40.5" customHeight="1" x14ac:dyDescent="0.25">
      <c r="A24" s="8">
        <v>20</v>
      </c>
      <c r="B24" s="12" t="s">
        <v>937</v>
      </c>
      <c r="C24" s="13">
        <v>45441</v>
      </c>
      <c r="D24" s="12" t="s">
        <v>654</v>
      </c>
      <c r="E24" s="6" t="s">
        <v>106</v>
      </c>
      <c r="F24" s="6" t="s">
        <v>938</v>
      </c>
      <c r="G24" s="10">
        <v>4350</v>
      </c>
      <c r="H24" s="10"/>
      <c r="I24" s="10">
        <v>4350</v>
      </c>
      <c r="J24" s="10"/>
      <c r="K24" s="10"/>
      <c r="L24" s="10"/>
      <c r="M24" s="10"/>
      <c r="N24" s="34"/>
      <c r="O24" s="34"/>
      <c r="P24" s="10"/>
      <c r="Q24" s="10">
        <v>4350</v>
      </c>
      <c r="R24" s="10"/>
      <c r="S24" s="10"/>
      <c r="T24" s="10"/>
      <c r="U24" s="10"/>
      <c r="V24" s="10"/>
      <c r="W24" s="10"/>
      <c r="X24" s="10">
        <f t="shared" ref="X24" si="10">SUM(P24:W24)</f>
        <v>4350</v>
      </c>
      <c r="Y24" s="10">
        <f t="shared" ref="Y24" si="11">G24-X24</f>
        <v>0</v>
      </c>
      <c r="Z24" s="3"/>
    </row>
    <row r="25" spans="1:26" ht="24" customHeight="1" x14ac:dyDescent="0.25">
      <c r="A25" s="8">
        <v>21</v>
      </c>
      <c r="B25" s="12" t="s">
        <v>1202</v>
      </c>
      <c r="C25" s="13">
        <v>45520</v>
      </c>
      <c r="D25" s="12" t="s">
        <v>42</v>
      </c>
      <c r="E25" s="6" t="s">
        <v>1203</v>
      </c>
      <c r="F25" s="6" t="s">
        <v>1204</v>
      </c>
      <c r="G25" s="10">
        <v>4540</v>
      </c>
      <c r="H25" s="10"/>
      <c r="I25" s="10">
        <v>4540</v>
      </c>
      <c r="J25" s="10"/>
      <c r="K25" s="10"/>
      <c r="L25" s="10"/>
      <c r="M25" s="10"/>
      <c r="N25" s="34"/>
      <c r="O25" s="34"/>
      <c r="P25" s="10"/>
      <c r="Q25" s="10">
        <v>4540</v>
      </c>
      <c r="R25" s="10"/>
      <c r="S25" s="10"/>
      <c r="T25" s="10"/>
      <c r="U25" s="10"/>
      <c r="V25" s="10"/>
      <c r="W25" s="10"/>
      <c r="X25" s="10">
        <f t="shared" ref="X25" si="12">SUM(P25:W25)</f>
        <v>4540</v>
      </c>
      <c r="Y25" s="10">
        <f t="shared" ref="Y25" si="13">G25-X25</f>
        <v>0</v>
      </c>
      <c r="Z25" s="3"/>
    </row>
    <row r="26" spans="1:26" ht="66" customHeight="1" x14ac:dyDescent="0.25">
      <c r="A26" s="8">
        <v>22</v>
      </c>
      <c r="B26" s="12" t="s">
        <v>1234</v>
      </c>
      <c r="C26" s="13">
        <v>45531</v>
      </c>
      <c r="D26" s="12" t="s">
        <v>42</v>
      </c>
      <c r="E26" s="6" t="s">
        <v>1235</v>
      </c>
      <c r="F26" s="6" t="s">
        <v>1236</v>
      </c>
      <c r="G26" s="10">
        <v>3000</v>
      </c>
      <c r="H26" s="10">
        <v>3000</v>
      </c>
      <c r="I26" s="10"/>
      <c r="J26" s="10"/>
      <c r="K26" s="10"/>
      <c r="L26" s="10"/>
      <c r="M26" s="10"/>
      <c r="N26" s="34"/>
      <c r="O26" s="34"/>
      <c r="P26" s="10">
        <v>3000</v>
      </c>
      <c r="Q26" s="10"/>
      <c r="R26" s="10"/>
      <c r="S26" s="10"/>
      <c r="T26" s="10"/>
      <c r="U26" s="10"/>
      <c r="V26" s="10"/>
      <c r="W26" s="10"/>
      <c r="X26" s="10">
        <f t="shared" ref="X26" si="14">SUM(P26:W26)</f>
        <v>3000</v>
      </c>
      <c r="Y26" s="10">
        <f t="shared" ref="Y26" si="15">G26-X26</f>
        <v>0</v>
      </c>
      <c r="Z26" s="3"/>
    </row>
    <row r="27" spans="1:26" ht="56.25" customHeight="1" x14ac:dyDescent="0.25">
      <c r="A27" s="8">
        <v>23</v>
      </c>
      <c r="B27" s="12" t="s">
        <v>1273</v>
      </c>
      <c r="C27" s="13">
        <v>45541</v>
      </c>
      <c r="D27" s="12" t="s">
        <v>42</v>
      </c>
      <c r="E27" s="6" t="s">
        <v>76</v>
      </c>
      <c r="F27" s="6" t="s">
        <v>1274</v>
      </c>
      <c r="G27" s="10">
        <v>3750</v>
      </c>
      <c r="H27" s="10">
        <v>3750</v>
      </c>
      <c r="I27" s="10"/>
      <c r="J27" s="10"/>
      <c r="K27" s="10"/>
      <c r="L27" s="10"/>
      <c r="M27" s="10"/>
      <c r="N27" s="34"/>
      <c r="O27" s="34"/>
      <c r="P27" s="10">
        <v>3750</v>
      </c>
      <c r="Q27" s="10"/>
      <c r="R27" s="10"/>
      <c r="S27" s="10"/>
      <c r="T27" s="10"/>
      <c r="U27" s="10"/>
      <c r="V27" s="10"/>
      <c r="W27" s="10"/>
      <c r="X27" s="10">
        <f t="shared" ref="X27" si="16">SUM(P27:W27)</f>
        <v>3750</v>
      </c>
      <c r="Y27" s="10">
        <f t="shared" ref="Y27" si="17">G27-X27</f>
        <v>0</v>
      </c>
      <c r="Z27" s="3"/>
    </row>
    <row r="28" spans="1:26" ht="27" customHeight="1" x14ac:dyDescent="0.25">
      <c r="A28" s="8">
        <v>24</v>
      </c>
      <c r="B28" s="12" t="s">
        <v>1385</v>
      </c>
      <c r="C28" s="13">
        <v>45566</v>
      </c>
      <c r="D28" s="12" t="s">
        <v>42</v>
      </c>
      <c r="E28" s="6" t="s">
        <v>573</v>
      </c>
      <c r="F28" s="6" t="s">
        <v>1386</v>
      </c>
      <c r="G28" s="10">
        <v>3700</v>
      </c>
      <c r="H28" s="10">
        <v>3700</v>
      </c>
      <c r="I28" s="10"/>
      <c r="J28" s="10"/>
      <c r="K28" s="10"/>
      <c r="L28" s="10"/>
      <c r="M28" s="10"/>
      <c r="N28" s="34"/>
      <c r="O28" s="34"/>
      <c r="P28" s="10">
        <v>3700</v>
      </c>
      <c r="Q28" s="10"/>
      <c r="R28" s="10"/>
      <c r="S28" s="10"/>
      <c r="T28" s="10"/>
      <c r="U28" s="10"/>
      <c r="V28" s="10"/>
      <c r="W28" s="10"/>
      <c r="X28" s="10">
        <f t="shared" ref="X28" si="18">SUM(P28:W28)</f>
        <v>3700</v>
      </c>
      <c r="Y28" s="10">
        <f t="shared" ref="Y28" si="19">G28-X28</f>
        <v>0</v>
      </c>
      <c r="Z28" s="3"/>
    </row>
    <row r="29" spans="1:26" ht="42.75" customHeight="1" x14ac:dyDescent="0.25">
      <c r="A29" s="8">
        <v>25</v>
      </c>
      <c r="B29" s="12" t="s">
        <v>1400</v>
      </c>
      <c r="C29" s="13">
        <v>45567</v>
      </c>
      <c r="D29" s="12" t="s">
        <v>42</v>
      </c>
      <c r="E29" s="6" t="s">
        <v>106</v>
      </c>
      <c r="F29" s="6" t="s">
        <v>1401</v>
      </c>
      <c r="G29" s="10">
        <v>5655</v>
      </c>
      <c r="H29" s="10"/>
      <c r="I29" s="10">
        <v>5655</v>
      </c>
      <c r="J29" s="10"/>
      <c r="K29" s="10"/>
      <c r="L29" s="10"/>
      <c r="M29" s="10"/>
      <c r="N29" s="34"/>
      <c r="O29" s="34"/>
      <c r="P29" s="10"/>
      <c r="Q29" s="10">
        <v>5655</v>
      </c>
      <c r="R29" s="10"/>
      <c r="S29" s="10"/>
      <c r="T29" s="10"/>
      <c r="U29" s="10"/>
      <c r="V29" s="10"/>
      <c r="W29" s="10"/>
      <c r="X29" s="10">
        <f t="shared" ref="X29" si="20">SUM(P29:W29)</f>
        <v>5655</v>
      </c>
      <c r="Y29" s="10">
        <f t="shared" ref="Y29" si="21">G29-X29</f>
        <v>0</v>
      </c>
      <c r="Z29" s="3"/>
    </row>
    <row r="30" spans="1:26" ht="27" customHeight="1" x14ac:dyDescent="0.25">
      <c r="A30" s="8">
        <v>26</v>
      </c>
      <c r="B30" s="12" t="s">
        <v>1435</v>
      </c>
      <c r="C30" s="13">
        <v>45567</v>
      </c>
      <c r="D30" s="12" t="s">
        <v>42</v>
      </c>
      <c r="E30" s="6" t="s">
        <v>76</v>
      </c>
      <c r="F30" s="6" t="s">
        <v>1436</v>
      </c>
      <c r="G30" s="10">
        <v>750</v>
      </c>
      <c r="H30" s="10">
        <v>750</v>
      </c>
      <c r="I30" s="10"/>
      <c r="J30" s="10"/>
      <c r="K30" s="10"/>
      <c r="L30" s="10"/>
      <c r="M30" s="10"/>
      <c r="N30" s="34"/>
      <c r="O30" s="34"/>
      <c r="P30" s="10">
        <v>750</v>
      </c>
      <c r="Q30" s="10"/>
      <c r="R30" s="10"/>
      <c r="S30" s="10"/>
      <c r="T30" s="10"/>
      <c r="U30" s="10"/>
      <c r="V30" s="10"/>
      <c r="W30" s="10"/>
      <c r="X30" s="10">
        <f t="shared" ref="X30" si="22">SUM(P30:W30)</f>
        <v>750</v>
      </c>
      <c r="Y30" s="10">
        <f t="shared" ref="Y30" si="23">G30-X30</f>
        <v>0</v>
      </c>
      <c r="Z30" s="3"/>
    </row>
    <row r="31" spans="1:26" ht="40.5" customHeight="1" x14ac:dyDescent="0.25">
      <c r="A31" s="8">
        <v>27</v>
      </c>
      <c r="B31" s="12" t="s">
        <v>1305</v>
      </c>
      <c r="C31" s="13">
        <v>45602</v>
      </c>
      <c r="D31" s="12" t="s">
        <v>42</v>
      </c>
      <c r="E31" s="6" t="s">
        <v>106</v>
      </c>
      <c r="F31" s="6" t="s">
        <v>1443</v>
      </c>
      <c r="G31" s="10">
        <v>1276</v>
      </c>
      <c r="H31" s="10">
        <v>1276</v>
      </c>
      <c r="I31" s="10"/>
      <c r="J31" s="10"/>
      <c r="K31" s="10"/>
      <c r="L31" s="10"/>
      <c r="M31" s="10"/>
      <c r="N31" s="34"/>
      <c r="O31" s="34"/>
      <c r="P31" s="10">
        <v>1276</v>
      </c>
      <c r="Q31" s="10"/>
      <c r="R31" s="10"/>
      <c r="S31" s="10"/>
      <c r="T31" s="10"/>
      <c r="U31" s="10"/>
      <c r="V31" s="10"/>
      <c r="W31" s="10"/>
      <c r="X31" s="10">
        <f t="shared" ref="X31" si="24">SUM(P31:W31)</f>
        <v>1276</v>
      </c>
      <c r="Y31" s="10">
        <f t="shared" ref="Y31" si="25">G31-X31</f>
        <v>0</v>
      </c>
      <c r="Z31" s="3"/>
    </row>
    <row r="32" spans="1:26" ht="40.5" customHeight="1" x14ac:dyDescent="0.25">
      <c r="A32" s="8">
        <v>28</v>
      </c>
      <c r="B32" s="12" t="s">
        <v>1068</v>
      </c>
      <c r="C32" s="13">
        <v>45602</v>
      </c>
      <c r="D32" s="12" t="s">
        <v>42</v>
      </c>
      <c r="E32" s="6" t="s">
        <v>106</v>
      </c>
      <c r="F32" s="6" t="s">
        <v>1444</v>
      </c>
      <c r="G32" s="10">
        <v>435</v>
      </c>
      <c r="H32" s="10">
        <v>435</v>
      </c>
      <c r="I32" s="10"/>
      <c r="J32" s="10"/>
      <c r="K32" s="10"/>
      <c r="L32" s="10"/>
      <c r="M32" s="10"/>
      <c r="N32" s="34"/>
      <c r="O32" s="34"/>
      <c r="P32" s="10">
        <v>435</v>
      </c>
      <c r="Q32" s="10"/>
      <c r="R32" s="10"/>
      <c r="S32" s="10"/>
      <c r="T32" s="10"/>
      <c r="U32" s="10"/>
      <c r="V32" s="10"/>
      <c r="W32" s="10"/>
      <c r="X32" s="10">
        <f t="shared" ref="X32" si="26">SUM(P32:W32)</f>
        <v>435</v>
      </c>
      <c r="Y32" s="10">
        <f t="shared" ref="Y32" si="27">G32-X32</f>
        <v>0</v>
      </c>
      <c r="Z32" s="3"/>
    </row>
    <row r="33" spans="1:26" ht="40.5" customHeight="1" x14ac:dyDescent="0.25">
      <c r="A33" s="8">
        <v>29</v>
      </c>
      <c r="B33" s="12" t="s">
        <v>1453</v>
      </c>
      <c r="C33" s="13">
        <v>45576</v>
      </c>
      <c r="D33" s="12" t="s">
        <v>42</v>
      </c>
      <c r="E33" s="6" t="s">
        <v>1454</v>
      </c>
      <c r="F33" s="6" t="s">
        <v>1455</v>
      </c>
      <c r="G33" s="10">
        <v>445</v>
      </c>
      <c r="H33" s="10"/>
      <c r="I33" s="10">
        <v>445</v>
      </c>
      <c r="J33" s="10"/>
      <c r="K33" s="10"/>
      <c r="L33" s="10"/>
      <c r="M33" s="10"/>
      <c r="N33" s="34"/>
      <c r="O33" s="34"/>
      <c r="P33" s="10"/>
      <c r="Q33" s="10">
        <v>445</v>
      </c>
      <c r="R33" s="10"/>
      <c r="S33" s="10"/>
      <c r="T33" s="10"/>
      <c r="U33" s="10"/>
      <c r="V33" s="10"/>
      <c r="W33" s="10"/>
      <c r="X33" s="10">
        <f t="shared" ref="X33" si="28">SUM(P33:W33)</f>
        <v>445</v>
      </c>
      <c r="Y33" s="10">
        <f t="shared" ref="Y33" si="29">G33-X33</f>
        <v>0</v>
      </c>
      <c r="Z33" s="3"/>
    </row>
    <row r="34" spans="1:26" x14ac:dyDescent="0.25">
      <c r="A34" s="8"/>
      <c r="B34" s="12"/>
      <c r="C34" s="13"/>
      <c r="D34" s="12"/>
      <c r="E34" s="6"/>
      <c r="F34" s="6"/>
      <c r="G34" s="10"/>
      <c r="H34" s="10"/>
      <c r="I34" s="10"/>
      <c r="J34" s="10"/>
      <c r="K34" s="10"/>
      <c r="L34" s="10"/>
      <c r="M34" s="10"/>
      <c r="N34" s="34"/>
      <c r="O34" s="34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3"/>
    </row>
    <row r="35" spans="1:26" x14ac:dyDescent="0.25">
      <c r="A35" s="8"/>
      <c r="B35" s="12"/>
      <c r="C35" s="13"/>
      <c r="D35" s="12"/>
      <c r="E35" s="6"/>
      <c r="F35" s="6"/>
      <c r="G35" s="10"/>
      <c r="H35" s="10"/>
      <c r="I35" s="10"/>
      <c r="J35" s="10"/>
      <c r="K35" s="10"/>
      <c r="L35" s="10"/>
      <c r="M35" s="10"/>
      <c r="N35" s="34"/>
      <c r="O35" s="34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3"/>
    </row>
    <row r="36" spans="1:26" ht="15.75" customHeight="1" x14ac:dyDescent="0.25">
      <c r="A36" s="62" t="s">
        <v>31</v>
      </c>
      <c r="B36" s="62"/>
      <c r="C36" s="62"/>
      <c r="D36" s="62"/>
      <c r="E36" s="62"/>
      <c r="F36" s="62"/>
      <c r="G36" s="16">
        <f>SUM(G5:G35)</f>
        <v>90755</v>
      </c>
      <c r="H36" s="16">
        <f t="shared" ref="H36:Y36" si="30">SUM(H5:H35)</f>
        <v>30656</v>
      </c>
      <c r="I36" s="16">
        <f t="shared" si="30"/>
        <v>59398</v>
      </c>
      <c r="J36" s="16">
        <f t="shared" si="30"/>
        <v>0</v>
      </c>
      <c r="K36" s="16">
        <f t="shared" si="30"/>
        <v>0</v>
      </c>
      <c r="L36" s="16">
        <f t="shared" si="30"/>
        <v>0</v>
      </c>
      <c r="M36" s="16">
        <f t="shared" si="30"/>
        <v>0</v>
      </c>
      <c r="N36" s="16">
        <f t="shared" si="30"/>
        <v>0</v>
      </c>
      <c r="O36" s="16">
        <f t="shared" si="30"/>
        <v>701</v>
      </c>
      <c r="P36" s="16">
        <f t="shared" si="30"/>
        <v>30656</v>
      </c>
      <c r="Q36" s="16">
        <f t="shared" si="30"/>
        <v>59398</v>
      </c>
      <c r="R36" s="16">
        <f t="shared" si="30"/>
        <v>0</v>
      </c>
      <c r="S36" s="16">
        <f t="shared" si="30"/>
        <v>0</v>
      </c>
      <c r="T36" s="16">
        <f t="shared" si="30"/>
        <v>0</v>
      </c>
      <c r="U36" s="16">
        <f t="shared" si="30"/>
        <v>0</v>
      </c>
      <c r="V36" s="16">
        <f t="shared" si="30"/>
        <v>0</v>
      </c>
      <c r="W36" s="16">
        <f t="shared" si="30"/>
        <v>701</v>
      </c>
      <c r="X36" s="16">
        <f t="shared" si="30"/>
        <v>90755</v>
      </c>
      <c r="Y36" s="16">
        <f t="shared" si="30"/>
        <v>0</v>
      </c>
      <c r="Z36" s="3"/>
    </row>
  </sheetData>
  <mergeCells count="29">
    <mergeCell ref="F1:F3"/>
    <mergeCell ref="A1:A3"/>
    <mergeCell ref="B1:B3"/>
    <mergeCell ref="C1:C3"/>
    <mergeCell ref="D1:D3"/>
    <mergeCell ref="E1:E3"/>
    <mergeCell ref="Y1:Y3"/>
    <mergeCell ref="H2:H3"/>
    <mergeCell ref="I2:I3"/>
    <mergeCell ref="J2:J3"/>
    <mergeCell ref="K2:K3"/>
    <mergeCell ref="L2:L3"/>
    <mergeCell ref="R2:R3"/>
    <mergeCell ref="A4:Y4"/>
    <mergeCell ref="A36:F36"/>
    <mergeCell ref="G1:G3"/>
    <mergeCell ref="H1:O1"/>
    <mergeCell ref="P1:W1"/>
    <mergeCell ref="X1:X3"/>
    <mergeCell ref="M2:M3"/>
    <mergeCell ref="N2:N3"/>
    <mergeCell ref="O2:O3"/>
    <mergeCell ref="P2:P3"/>
    <mergeCell ref="Q2:Q3"/>
    <mergeCell ref="S2:S3"/>
    <mergeCell ref="T2:T3"/>
    <mergeCell ref="U2:U3"/>
    <mergeCell ref="V2:V3"/>
    <mergeCell ref="W2:W3"/>
  </mergeCells>
  <pageMargins left="0.19685039370078741" right="0.19685039370078741" top="0.19685039370078741" bottom="0.19685039370078741" header="0.31496062992125984" footer="0.31496062992125984"/>
  <pageSetup paperSize="9" scale="43" fitToHeight="0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F980F-952A-4CB5-8FB0-725917EAA721}">
  <sheetPr>
    <pageSetUpPr fitToPage="1"/>
  </sheetPr>
  <dimension ref="A1:AA84"/>
  <sheetViews>
    <sheetView zoomScale="75" zoomScaleNormal="75" workbookViewId="0">
      <pane xSplit="14" ySplit="3" topLeftCell="O74" activePane="bottomRight" state="frozen"/>
      <selection pane="topRight" activeCell="J1" sqref="J1"/>
      <selection pane="bottomLeft" activeCell="A14" sqref="A14"/>
      <selection pane="bottomRight" activeCell="H99" sqref="H99"/>
    </sheetView>
  </sheetViews>
  <sheetFormatPr defaultRowHeight="15" x14ac:dyDescent="0.25"/>
  <cols>
    <col min="1" max="1" width="3.7109375" customWidth="1"/>
    <col min="2" max="2" width="8.85546875" customWidth="1"/>
    <col min="3" max="3" width="7.7109375" customWidth="1"/>
    <col min="4" max="4" width="8.140625" customWidth="1"/>
    <col min="5" max="5" width="28.140625" customWidth="1"/>
    <col min="6" max="6" width="31.85546875" customWidth="1"/>
    <col min="7" max="7" width="13.28515625" customWidth="1"/>
    <col min="8" max="8" width="12.5703125" customWidth="1"/>
    <col min="9" max="9" width="12.140625" customWidth="1"/>
    <col min="10" max="10" width="12.5703125" customWidth="1"/>
    <col min="11" max="11" width="12.140625" customWidth="1"/>
    <col min="12" max="13" width="12.7109375" customWidth="1"/>
    <col min="14" max="14" width="12.28515625" customWidth="1"/>
    <col min="15" max="15" width="11.28515625" customWidth="1"/>
    <col min="16" max="17" width="12" customWidth="1"/>
    <col min="18" max="18" width="11.42578125" customWidth="1"/>
    <col min="19" max="19" width="12" customWidth="1"/>
    <col min="20" max="21" width="11.5703125" customWidth="1"/>
    <col min="22" max="22" width="13.140625" customWidth="1"/>
    <col min="23" max="23" width="11.140625" customWidth="1"/>
    <col min="24" max="24" width="12.42578125" customWidth="1"/>
    <col min="25" max="26" width="13" customWidth="1"/>
    <col min="27" max="27" width="13.140625" customWidth="1"/>
  </cols>
  <sheetData>
    <row r="1" spans="1:26" ht="15" customHeight="1" x14ac:dyDescent="0.25">
      <c r="A1" s="66" t="s">
        <v>0</v>
      </c>
      <c r="B1" s="66" t="s">
        <v>1</v>
      </c>
      <c r="C1" s="66" t="s">
        <v>22</v>
      </c>
      <c r="D1" s="66" t="s">
        <v>21</v>
      </c>
      <c r="E1" s="66" t="s">
        <v>289</v>
      </c>
      <c r="F1" s="66" t="s">
        <v>3</v>
      </c>
      <c r="G1" s="66" t="s">
        <v>4</v>
      </c>
      <c r="H1" s="66" t="s">
        <v>7</v>
      </c>
      <c r="I1" s="66"/>
      <c r="J1" s="66"/>
      <c r="K1" s="66"/>
      <c r="L1" s="66"/>
      <c r="M1" s="66"/>
      <c r="N1" s="66"/>
      <c r="O1" s="66"/>
      <c r="P1" s="66" t="s">
        <v>314</v>
      </c>
      <c r="Q1" s="66"/>
      <c r="R1" s="66"/>
      <c r="S1" s="66"/>
      <c r="T1" s="66"/>
      <c r="U1" s="66"/>
      <c r="V1" s="66"/>
      <c r="W1" s="66"/>
      <c r="X1" s="66" t="s">
        <v>6</v>
      </c>
      <c r="Y1" s="66" t="s">
        <v>315</v>
      </c>
    </row>
    <row r="2" spans="1:26" ht="27.75" customHeight="1" x14ac:dyDescent="0.25">
      <c r="A2" s="66"/>
      <c r="B2" s="66"/>
      <c r="C2" s="66"/>
      <c r="D2" s="66"/>
      <c r="E2" s="66"/>
      <c r="F2" s="66"/>
      <c r="G2" s="66"/>
      <c r="H2" s="66" t="s">
        <v>307</v>
      </c>
      <c r="I2" s="66" t="s">
        <v>308</v>
      </c>
      <c r="J2" s="66" t="s">
        <v>309</v>
      </c>
      <c r="K2" s="66" t="s">
        <v>310</v>
      </c>
      <c r="L2" s="66" t="s">
        <v>311</v>
      </c>
      <c r="M2" s="70" t="s">
        <v>312</v>
      </c>
      <c r="N2" s="66" t="s">
        <v>313</v>
      </c>
      <c r="O2" s="66" t="s">
        <v>5</v>
      </c>
      <c r="P2" s="66" t="s">
        <v>307</v>
      </c>
      <c r="Q2" s="66" t="s">
        <v>308</v>
      </c>
      <c r="R2" s="66" t="s">
        <v>309</v>
      </c>
      <c r="S2" s="66" t="s">
        <v>310</v>
      </c>
      <c r="T2" s="66" t="s">
        <v>311</v>
      </c>
      <c r="U2" s="70" t="s">
        <v>312</v>
      </c>
      <c r="V2" s="66" t="s">
        <v>313</v>
      </c>
      <c r="W2" s="66" t="s">
        <v>5</v>
      </c>
      <c r="X2" s="66"/>
      <c r="Y2" s="66"/>
    </row>
    <row r="3" spans="1:26" ht="39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70"/>
      <c r="N3" s="66"/>
      <c r="O3" s="66"/>
      <c r="P3" s="66"/>
      <c r="Q3" s="66"/>
      <c r="R3" s="66"/>
      <c r="S3" s="66"/>
      <c r="T3" s="66"/>
      <c r="U3" s="70"/>
      <c r="V3" s="66"/>
      <c r="W3" s="66"/>
      <c r="X3" s="66"/>
      <c r="Y3" s="66"/>
    </row>
    <row r="4" spans="1:26" ht="15.75" customHeight="1" x14ac:dyDescent="0.25">
      <c r="A4" s="67" t="s">
        <v>27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3"/>
    </row>
    <row r="5" spans="1:26" ht="117.75" customHeight="1" x14ac:dyDescent="0.25">
      <c r="A5" s="8">
        <v>1</v>
      </c>
      <c r="B5" s="12" t="s">
        <v>277</v>
      </c>
      <c r="C5" s="13">
        <v>45342</v>
      </c>
      <c r="D5" s="12" t="s">
        <v>42</v>
      </c>
      <c r="E5" s="51" t="s">
        <v>283</v>
      </c>
      <c r="F5" s="53" t="s">
        <v>1100</v>
      </c>
      <c r="G5" s="10">
        <v>17156</v>
      </c>
      <c r="H5" s="10"/>
      <c r="I5" s="10"/>
      <c r="J5" s="10"/>
      <c r="K5" s="10"/>
      <c r="L5" s="10"/>
      <c r="M5" s="10"/>
      <c r="N5" s="10">
        <v>17156</v>
      </c>
      <c r="O5" s="10"/>
      <c r="P5" s="10"/>
      <c r="Q5" s="10"/>
      <c r="R5" s="10"/>
      <c r="S5" s="10"/>
      <c r="T5" s="10"/>
      <c r="U5" s="10"/>
      <c r="V5" s="54">
        <v>17156</v>
      </c>
      <c r="W5" s="10"/>
      <c r="X5" s="10">
        <f>SUM(P5:W5)</f>
        <v>17156</v>
      </c>
      <c r="Y5" s="10">
        <f>G5-X5</f>
        <v>0</v>
      </c>
      <c r="Z5" s="3"/>
    </row>
    <row r="6" spans="1:26" ht="106.5" customHeight="1" x14ac:dyDescent="0.25">
      <c r="A6" s="8">
        <v>2</v>
      </c>
      <c r="B6" s="12" t="s">
        <v>325</v>
      </c>
      <c r="C6" s="13">
        <v>45349</v>
      </c>
      <c r="D6" s="12" t="s">
        <v>42</v>
      </c>
      <c r="E6" s="51" t="s">
        <v>890</v>
      </c>
      <c r="F6" s="53" t="s">
        <v>1101</v>
      </c>
      <c r="G6" s="10">
        <f>698576.41-1235.71</f>
        <v>697340.70000000007</v>
      </c>
      <c r="H6" s="10"/>
      <c r="I6" s="10"/>
      <c r="J6" s="10"/>
      <c r="K6" s="10"/>
      <c r="L6" s="10"/>
      <c r="M6" s="10"/>
      <c r="N6" s="10">
        <f>698576.41-1235.71</f>
        <v>697340.70000000007</v>
      </c>
      <c r="O6" s="10"/>
      <c r="P6" s="10"/>
      <c r="Q6" s="10"/>
      <c r="R6" s="10"/>
      <c r="S6" s="10"/>
      <c r="T6" s="10"/>
      <c r="U6" s="10"/>
      <c r="V6" s="54">
        <v>697340.7</v>
      </c>
      <c r="W6" s="10"/>
      <c r="X6" s="10">
        <f>SUM(P6:W6)</f>
        <v>697340.7</v>
      </c>
      <c r="Y6" s="10">
        <f>G6-X6</f>
        <v>0</v>
      </c>
      <c r="Z6" s="3"/>
    </row>
    <row r="7" spans="1:26" ht="171" customHeight="1" x14ac:dyDescent="0.25">
      <c r="A7" s="8">
        <v>3</v>
      </c>
      <c r="B7" s="12" t="s">
        <v>282</v>
      </c>
      <c r="C7" s="13">
        <v>45342</v>
      </c>
      <c r="D7" s="12" t="s">
        <v>42</v>
      </c>
      <c r="E7" s="40" t="s">
        <v>284</v>
      </c>
      <c r="F7" s="53" t="s">
        <v>1126</v>
      </c>
      <c r="G7" s="10">
        <v>48000</v>
      </c>
      <c r="H7" s="10"/>
      <c r="I7" s="10"/>
      <c r="J7" s="10"/>
      <c r="K7" s="10"/>
      <c r="L7" s="10"/>
      <c r="M7" s="10"/>
      <c r="N7" s="10">
        <v>48000</v>
      </c>
      <c r="O7" s="10"/>
      <c r="P7" s="10"/>
      <c r="Q7" s="10"/>
      <c r="R7" s="10"/>
      <c r="S7" s="10"/>
      <c r="T7" s="10"/>
      <c r="U7" s="10"/>
      <c r="V7" s="54">
        <v>48000</v>
      </c>
      <c r="W7" s="10"/>
      <c r="X7" s="10">
        <f t="shared" ref="X7:X77" si="0">SUM(P7:W7)</f>
        <v>48000</v>
      </c>
      <c r="Y7" s="10">
        <f t="shared" ref="Y7:Y77" si="1">G7-X7</f>
        <v>0</v>
      </c>
      <c r="Z7" s="3"/>
    </row>
    <row r="8" spans="1:26" ht="174.75" customHeight="1" x14ac:dyDescent="0.25">
      <c r="A8" s="8">
        <v>4</v>
      </c>
      <c r="B8" s="12" t="s">
        <v>285</v>
      </c>
      <c r="C8" s="13">
        <v>45342</v>
      </c>
      <c r="D8" s="12" t="s">
        <v>42</v>
      </c>
      <c r="E8" s="40" t="s">
        <v>284</v>
      </c>
      <c r="F8" s="53" t="s">
        <v>1127</v>
      </c>
      <c r="G8" s="10">
        <v>51000</v>
      </c>
      <c r="H8" s="10"/>
      <c r="I8" s="10"/>
      <c r="J8" s="10"/>
      <c r="K8" s="10"/>
      <c r="L8" s="10"/>
      <c r="M8" s="10"/>
      <c r="N8" s="10">
        <v>51000</v>
      </c>
      <c r="O8" s="10"/>
      <c r="P8" s="10"/>
      <c r="Q8" s="10"/>
      <c r="R8" s="10"/>
      <c r="S8" s="10"/>
      <c r="T8" s="10"/>
      <c r="U8" s="10"/>
      <c r="V8" s="54">
        <v>51000</v>
      </c>
      <c r="W8" s="10"/>
      <c r="X8" s="10">
        <f t="shared" si="0"/>
        <v>51000</v>
      </c>
      <c r="Y8" s="10">
        <f t="shared" si="1"/>
        <v>0</v>
      </c>
      <c r="Z8" s="3"/>
    </row>
    <row r="9" spans="1:26" ht="144.75" customHeight="1" x14ac:dyDescent="0.25">
      <c r="A9" s="8">
        <v>5</v>
      </c>
      <c r="B9" s="12" t="s">
        <v>399</v>
      </c>
      <c r="C9" s="13">
        <v>45350</v>
      </c>
      <c r="D9" s="12" t="s">
        <v>42</v>
      </c>
      <c r="E9" s="40" t="s">
        <v>934</v>
      </c>
      <c r="F9" s="53" t="s">
        <v>1128</v>
      </c>
      <c r="G9" s="10">
        <v>137769.70000000001</v>
      </c>
      <c r="H9" s="10"/>
      <c r="I9" s="10"/>
      <c r="J9" s="10"/>
      <c r="K9" s="10"/>
      <c r="L9" s="10"/>
      <c r="M9" s="10"/>
      <c r="N9" s="10">
        <v>137769.70000000001</v>
      </c>
      <c r="O9" s="10"/>
      <c r="P9" s="10"/>
      <c r="Q9" s="10"/>
      <c r="R9" s="10"/>
      <c r="S9" s="10"/>
      <c r="T9" s="10"/>
      <c r="U9" s="10"/>
      <c r="V9" s="54">
        <v>137769.70000000001</v>
      </c>
      <c r="W9" s="10"/>
      <c r="X9" s="10">
        <f t="shared" si="0"/>
        <v>137769.70000000001</v>
      </c>
      <c r="Y9" s="10">
        <f t="shared" si="1"/>
        <v>0</v>
      </c>
      <c r="Z9" s="3"/>
    </row>
    <row r="10" spans="1:26" ht="149.25" customHeight="1" x14ac:dyDescent="0.25">
      <c r="A10" s="8">
        <v>6</v>
      </c>
      <c r="B10" s="12" t="s">
        <v>400</v>
      </c>
      <c r="C10" s="13">
        <v>45352</v>
      </c>
      <c r="D10" s="12" t="s">
        <v>42</v>
      </c>
      <c r="E10" s="40" t="s">
        <v>401</v>
      </c>
      <c r="F10" s="53" t="s">
        <v>1129</v>
      </c>
      <c r="G10" s="10">
        <v>318140.40000000002</v>
      </c>
      <c r="H10" s="10"/>
      <c r="I10" s="10"/>
      <c r="J10" s="10"/>
      <c r="K10" s="10"/>
      <c r="L10" s="10"/>
      <c r="M10" s="10"/>
      <c r="N10" s="10">
        <v>318140.40000000002</v>
      </c>
      <c r="O10" s="10"/>
      <c r="P10" s="10"/>
      <c r="Q10" s="10"/>
      <c r="R10" s="10"/>
      <c r="S10" s="10"/>
      <c r="T10" s="10"/>
      <c r="U10" s="10"/>
      <c r="V10" s="54">
        <v>318140.40000000002</v>
      </c>
      <c r="W10" s="10"/>
      <c r="X10" s="10">
        <f t="shared" si="0"/>
        <v>318140.40000000002</v>
      </c>
      <c r="Y10" s="10">
        <f t="shared" si="1"/>
        <v>0</v>
      </c>
      <c r="Z10" s="3"/>
    </row>
    <row r="11" spans="1:26" ht="144.75" customHeight="1" x14ac:dyDescent="0.25">
      <c r="A11" s="8">
        <v>7</v>
      </c>
      <c r="B11" s="12" t="s">
        <v>402</v>
      </c>
      <c r="C11" s="13">
        <v>45352</v>
      </c>
      <c r="D11" s="12" t="s">
        <v>42</v>
      </c>
      <c r="E11" s="40" t="s">
        <v>401</v>
      </c>
      <c r="F11" s="53" t="s">
        <v>1130</v>
      </c>
      <c r="G11" s="10">
        <v>401921</v>
      </c>
      <c r="H11" s="10"/>
      <c r="I11" s="10"/>
      <c r="J11" s="10"/>
      <c r="K11" s="10"/>
      <c r="L11" s="10"/>
      <c r="M11" s="10"/>
      <c r="N11" s="10">
        <v>401921</v>
      </c>
      <c r="O11" s="10"/>
      <c r="P11" s="10"/>
      <c r="Q11" s="10"/>
      <c r="R11" s="10"/>
      <c r="S11" s="10"/>
      <c r="T11" s="10"/>
      <c r="U11" s="10"/>
      <c r="V11" s="54">
        <v>401921</v>
      </c>
      <c r="W11" s="10"/>
      <c r="X11" s="10">
        <f t="shared" si="0"/>
        <v>401921</v>
      </c>
      <c r="Y11" s="10">
        <f t="shared" si="1"/>
        <v>0</v>
      </c>
      <c r="Z11" s="3"/>
    </row>
    <row r="12" spans="1:26" ht="163.5" customHeight="1" x14ac:dyDescent="0.25">
      <c r="A12" s="8">
        <v>8</v>
      </c>
      <c r="B12" s="12" t="s">
        <v>415</v>
      </c>
      <c r="C12" s="13">
        <v>45357</v>
      </c>
      <c r="D12" s="12" t="s">
        <v>29</v>
      </c>
      <c r="E12" s="40" t="s">
        <v>416</v>
      </c>
      <c r="F12" s="53" t="s">
        <v>1131</v>
      </c>
      <c r="G12" s="10">
        <v>2057</v>
      </c>
      <c r="H12" s="10"/>
      <c r="I12" s="10"/>
      <c r="J12" s="10"/>
      <c r="K12" s="10"/>
      <c r="L12" s="10"/>
      <c r="M12" s="10"/>
      <c r="N12" s="10">
        <v>2057</v>
      </c>
      <c r="O12" s="10"/>
      <c r="P12" s="10"/>
      <c r="Q12" s="10"/>
      <c r="R12" s="10"/>
      <c r="S12" s="10"/>
      <c r="T12" s="10"/>
      <c r="U12" s="10"/>
      <c r="V12" s="54">
        <v>2057</v>
      </c>
      <c r="W12" s="10"/>
      <c r="X12" s="10">
        <f t="shared" si="0"/>
        <v>2057</v>
      </c>
      <c r="Y12" s="10">
        <f t="shared" si="1"/>
        <v>0</v>
      </c>
      <c r="Z12" s="3"/>
    </row>
    <row r="13" spans="1:26" ht="159" customHeight="1" x14ac:dyDescent="0.25">
      <c r="A13" s="8">
        <v>9</v>
      </c>
      <c r="B13" s="12" t="s">
        <v>417</v>
      </c>
      <c r="C13" s="13">
        <v>45357</v>
      </c>
      <c r="D13" s="12" t="s">
        <v>42</v>
      </c>
      <c r="E13" s="40" t="s">
        <v>416</v>
      </c>
      <c r="F13" s="53" t="s">
        <v>1132</v>
      </c>
      <c r="G13" s="10">
        <v>3317</v>
      </c>
      <c r="H13" s="10"/>
      <c r="I13" s="10"/>
      <c r="J13" s="10"/>
      <c r="K13" s="10"/>
      <c r="L13" s="10"/>
      <c r="M13" s="10"/>
      <c r="N13" s="10">
        <v>3317</v>
      </c>
      <c r="O13" s="10"/>
      <c r="P13" s="10"/>
      <c r="Q13" s="10"/>
      <c r="R13" s="10"/>
      <c r="S13" s="10"/>
      <c r="T13" s="10"/>
      <c r="U13" s="10"/>
      <c r="V13" s="54">
        <v>3317</v>
      </c>
      <c r="W13" s="10"/>
      <c r="X13" s="10">
        <f t="shared" si="0"/>
        <v>3317</v>
      </c>
      <c r="Y13" s="10">
        <f t="shared" si="1"/>
        <v>0</v>
      </c>
      <c r="Z13" s="3"/>
    </row>
    <row r="14" spans="1:26" ht="172.5" customHeight="1" x14ac:dyDescent="0.25">
      <c r="A14" s="8">
        <v>10</v>
      </c>
      <c r="B14" s="12" t="s">
        <v>418</v>
      </c>
      <c r="C14" s="13">
        <v>45358</v>
      </c>
      <c r="D14" s="12" t="s">
        <v>42</v>
      </c>
      <c r="E14" s="40" t="s">
        <v>284</v>
      </c>
      <c r="F14" s="53" t="s">
        <v>1133</v>
      </c>
      <c r="G14" s="10">
        <v>2100</v>
      </c>
      <c r="H14" s="10"/>
      <c r="I14" s="10"/>
      <c r="J14" s="10"/>
      <c r="K14" s="10"/>
      <c r="L14" s="10"/>
      <c r="M14" s="10"/>
      <c r="N14" s="10">
        <v>2100</v>
      </c>
      <c r="O14" s="10"/>
      <c r="P14" s="10"/>
      <c r="Q14" s="10"/>
      <c r="R14" s="10"/>
      <c r="S14" s="10"/>
      <c r="T14" s="10"/>
      <c r="U14" s="10"/>
      <c r="V14" s="54">
        <v>2100</v>
      </c>
      <c r="W14" s="10"/>
      <c r="X14" s="10">
        <f t="shared" si="0"/>
        <v>2100</v>
      </c>
      <c r="Y14" s="10">
        <f t="shared" si="1"/>
        <v>0</v>
      </c>
      <c r="Z14" s="3"/>
    </row>
    <row r="15" spans="1:26" ht="173.25" customHeight="1" x14ac:dyDescent="0.25">
      <c r="A15" s="8">
        <v>11</v>
      </c>
      <c r="B15" s="12" t="s">
        <v>419</v>
      </c>
      <c r="C15" s="13">
        <v>45358</v>
      </c>
      <c r="D15" s="12" t="s">
        <v>42</v>
      </c>
      <c r="E15" s="40" t="s">
        <v>284</v>
      </c>
      <c r="F15" s="53" t="s">
        <v>1134</v>
      </c>
      <c r="G15" s="10">
        <v>2100</v>
      </c>
      <c r="H15" s="10"/>
      <c r="I15" s="10"/>
      <c r="J15" s="10"/>
      <c r="K15" s="10"/>
      <c r="L15" s="10"/>
      <c r="M15" s="10"/>
      <c r="N15" s="10">
        <v>2100</v>
      </c>
      <c r="O15" s="10"/>
      <c r="P15" s="10"/>
      <c r="Q15" s="10"/>
      <c r="R15" s="10"/>
      <c r="S15" s="10"/>
      <c r="T15" s="10"/>
      <c r="U15" s="10"/>
      <c r="V15" s="54">
        <v>2100</v>
      </c>
      <c r="W15" s="10"/>
      <c r="X15" s="10">
        <f t="shared" si="0"/>
        <v>2100</v>
      </c>
      <c r="Y15" s="10">
        <f t="shared" si="1"/>
        <v>0</v>
      </c>
      <c r="Z15" s="3"/>
    </row>
    <row r="16" spans="1:26" ht="108.75" customHeight="1" x14ac:dyDescent="0.25">
      <c r="A16" s="8">
        <v>12</v>
      </c>
      <c r="B16" s="12" t="s">
        <v>420</v>
      </c>
      <c r="C16" s="13">
        <v>45356</v>
      </c>
      <c r="D16" s="12" t="s">
        <v>42</v>
      </c>
      <c r="E16" s="51" t="s">
        <v>283</v>
      </c>
      <c r="F16" s="53" t="s">
        <v>1102</v>
      </c>
      <c r="G16" s="10">
        <v>2350</v>
      </c>
      <c r="H16" s="10"/>
      <c r="I16" s="10"/>
      <c r="J16" s="10"/>
      <c r="K16" s="10"/>
      <c r="L16" s="10"/>
      <c r="M16" s="10"/>
      <c r="N16" s="10">
        <v>2350</v>
      </c>
      <c r="O16" s="10"/>
      <c r="P16" s="10"/>
      <c r="Q16" s="10"/>
      <c r="R16" s="10"/>
      <c r="S16" s="10"/>
      <c r="T16" s="10"/>
      <c r="U16" s="10"/>
      <c r="V16" s="54">
        <v>2350</v>
      </c>
      <c r="W16" s="10"/>
      <c r="X16" s="10">
        <f t="shared" si="0"/>
        <v>2350</v>
      </c>
      <c r="Y16" s="10">
        <f t="shared" si="1"/>
        <v>0</v>
      </c>
      <c r="Z16" s="3"/>
    </row>
    <row r="17" spans="1:27" ht="129.75" customHeight="1" x14ac:dyDescent="0.25">
      <c r="A17" s="8">
        <v>13</v>
      </c>
      <c r="B17" s="12" t="s">
        <v>243</v>
      </c>
      <c r="C17" s="13">
        <v>45358</v>
      </c>
      <c r="D17" s="12" t="s">
        <v>42</v>
      </c>
      <c r="E17" s="51" t="s">
        <v>944</v>
      </c>
      <c r="F17" s="53" t="s">
        <v>1103</v>
      </c>
      <c r="G17" s="10">
        <f>10087.81-17.78</f>
        <v>10070.029999999999</v>
      </c>
      <c r="H17" s="10"/>
      <c r="I17" s="10"/>
      <c r="J17" s="10"/>
      <c r="K17" s="10"/>
      <c r="L17" s="10"/>
      <c r="M17" s="10"/>
      <c r="N17" s="10">
        <f>10087.81-17.78</f>
        <v>10070.029999999999</v>
      </c>
      <c r="O17" s="10"/>
      <c r="P17" s="10"/>
      <c r="Q17" s="10"/>
      <c r="R17" s="10"/>
      <c r="S17" s="10"/>
      <c r="T17" s="10"/>
      <c r="U17" s="10"/>
      <c r="V17" s="54">
        <v>10070.030000000001</v>
      </c>
      <c r="W17" s="10"/>
      <c r="X17" s="10">
        <f t="shared" si="0"/>
        <v>10070.030000000001</v>
      </c>
      <c r="Y17" s="10">
        <f t="shared" si="1"/>
        <v>0</v>
      </c>
      <c r="Z17" s="3"/>
    </row>
    <row r="18" spans="1:27" ht="108.75" customHeight="1" x14ac:dyDescent="0.25">
      <c r="A18" s="8">
        <v>14</v>
      </c>
      <c r="B18" s="12" t="s">
        <v>544</v>
      </c>
      <c r="C18" s="13">
        <v>45370</v>
      </c>
      <c r="D18" s="12" t="s">
        <v>42</v>
      </c>
      <c r="E18" s="4" t="s">
        <v>545</v>
      </c>
      <c r="F18" s="53" t="s">
        <v>546</v>
      </c>
      <c r="G18" s="10">
        <v>8795.75</v>
      </c>
      <c r="H18" s="10"/>
      <c r="I18" s="10"/>
      <c r="J18" s="10"/>
      <c r="K18" s="10"/>
      <c r="L18" s="10"/>
      <c r="M18" s="10"/>
      <c r="N18" s="10"/>
      <c r="O18" s="10">
        <v>8795.75</v>
      </c>
      <c r="P18" s="10"/>
      <c r="Q18" s="10"/>
      <c r="R18" s="10"/>
      <c r="S18" s="10"/>
      <c r="T18" s="10"/>
      <c r="U18" s="10"/>
      <c r="V18" s="10"/>
      <c r="W18" s="54">
        <v>8795.75</v>
      </c>
      <c r="X18" s="10">
        <f t="shared" si="0"/>
        <v>8795.75</v>
      </c>
      <c r="Y18" s="10">
        <f t="shared" si="1"/>
        <v>0</v>
      </c>
      <c r="Z18" s="3"/>
    </row>
    <row r="19" spans="1:27" ht="111" customHeight="1" x14ac:dyDescent="0.25">
      <c r="A19" s="8">
        <v>15</v>
      </c>
      <c r="B19" s="12" t="s">
        <v>607</v>
      </c>
      <c r="C19" s="13">
        <v>45148</v>
      </c>
      <c r="D19" s="12" t="s">
        <v>29</v>
      </c>
      <c r="E19" s="51" t="s">
        <v>1212</v>
      </c>
      <c r="F19" s="53" t="s">
        <v>1104</v>
      </c>
      <c r="G19" s="10">
        <f>8084.16+2865169.99-8084.16-887221.04</f>
        <v>1977948.9500000002</v>
      </c>
      <c r="H19" s="10"/>
      <c r="I19" s="10"/>
      <c r="J19" s="10">
        <f>8084.16-8084.16</f>
        <v>0</v>
      </c>
      <c r="K19" s="10"/>
      <c r="L19" s="10"/>
      <c r="M19" s="10"/>
      <c r="N19" s="10">
        <f>2865169.99-887221.04</f>
        <v>1977948.9500000002</v>
      </c>
      <c r="O19" s="10"/>
      <c r="P19" s="10"/>
      <c r="Q19" s="10"/>
      <c r="R19" s="10"/>
      <c r="S19" s="10"/>
      <c r="T19" s="10"/>
      <c r="U19" s="10"/>
      <c r="V19" s="54">
        <f>339633.59+30657.43+1129012.13+354700.76+27058.9+96886.14</f>
        <v>1977948.9499999997</v>
      </c>
      <c r="W19" s="10"/>
      <c r="X19" s="10">
        <f t="shared" ref="X19" si="2">SUM(P19:W19)</f>
        <v>1977948.9499999997</v>
      </c>
      <c r="Y19" s="49">
        <f t="shared" si="1"/>
        <v>0</v>
      </c>
      <c r="Z19" s="3"/>
    </row>
    <row r="20" spans="1:27" ht="147.75" customHeight="1" x14ac:dyDescent="0.25">
      <c r="A20" s="8">
        <v>16</v>
      </c>
      <c r="B20" s="12" t="s">
        <v>622</v>
      </c>
      <c r="C20" s="13">
        <v>45166</v>
      </c>
      <c r="D20" s="12" t="s">
        <v>29</v>
      </c>
      <c r="E20" s="51" t="s">
        <v>1105</v>
      </c>
      <c r="F20" s="53" t="s">
        <v>1211</v>
      </c>
      <c r="G20" s="10">
        <f>56429.78-10915.06</f>
        <v>45514.720000000001</v>
      </c>
      <c r="H20" s="10"/>
      <c r="I20" s="10"/>
      <c r="J20" s="10"/>
      <c r="K20" s="10"/>
      <c r="L20" s="10"/>
      <c r="M20" s="10">
        <f>20015.32-10915.06</f>
        <v>9100.26</v>
      </c>
      <c r="N20" s="10">
        <f>56429.78-20015.32</f>
        <v>36414.46</v>
      </c>
      <c r="O20" s="10"/>
      <c r="P20" s="10">
        <v>9100.26</v>
      </c>
      <c r="Q20" s="10"/>
      <c r="R20" s="10"/>
      <c r="S20" s="10"/>
      <c r="T20" s="10"/>
      <c r="U20" s="10"/>
      <c r="V20" s="54">
        <f>29821.25+5126.59+1466.62</f>
        <v>36414.46</v>
      </c>
      <c r="W20" s="10"/>
      <c r="X20" s="10">
        <f t="shared" ref="X20:X28" si="3">SUM(P20:W20)</f>
        <v>45514.720000000001</v>
      </c>
      <c r="Y20" s="49">
        <f t="shared" si="1"/>
        <v>0</v>
      </c>
      <c r="Z20" s="3"/>
      <c r="AA20" s="1"/>
    </row>
    <row r="21" spans="1:27" ht="149.25" customHeight="1" x14ac:dyDescent="0.25">
      <c r="A21" s="8">
        <v>17</v>
      </c>
      <c r="B21" s="12" t="s">
        <v>653</v>
      </c>
      <c r="C21" s="13">
        <v>45387</v>
      </c>
      <c r="D21" s="12" t="s">
        <v>654</v>
      </c>
      <c r="E21" s="51" t="s">
        <v>1106</v>
      </c>
      <c r="F21" s="53" t="s">
        <v>1107</v>
      </c>
      <c r="G21" s="10">
        <v>97699.63</v>
      </c>
      <c r="H21" s="10">
        <v>30</v>
      </c>
      <c r="I21" s="10"/>
      <c r="J21" s="10"/>
      <c r="K21" s="10"/>
      <c r="L21" s="10"/>
      <c r="M21" s="10"/>
      <c r="N21" s="10">
        <v>97669.63</v>
      </c>
      <c r="O21" s="10"/>
      <c r="P21" s="10">
        <v>30</v>
      </c>
      <c r="Q21" s="10"/>
      <c r="R21" s="10"/>
      <c r="S21" s="10"/>
      <c r="T21" s="10"/>
      <c r="U21" s="10"/>
      <c r="V21" s="54">
        <v>97669.63</v>
      </c>
      <c r="W21" s="10"/>
      <c r="X21" s="10">
        <f t="shared" si="3"/>
        <v>97699.63</v>
      </c>
      <c r="Y21" s="10">
        <f t="shared" si="1"/>
        <v>0</v>
      </c>
      <c r="Z21" s="3"/>
    </row>
    <row r="22" spans="1:27" ht="64.5" customHeight="1" x14ac:dyDescent="0.25">
      <c r="A22" s="8">
        <v>18</v>
      </c>
      <c r="B22" s="12" t="s">
        <v>665</v>
      </c>
      <c r="C22" s="13">
        <v>45391</v>
      </c>
      <c r="D22" s="12" t="s">
        <v>42</v>
      </c>
      <c r="E22" s="51" t="s">
        <v>666</v>
      </c>
      <c r="F22" s="53" t="s">
        <v>1108</v>
      </c>
      <c r="G22" s="10">
        <v>72512</v>
      </c>
      <c r="H22" s="10"/>
      <c r="I22" s="10"/>
      <c r="J22" s="10"/>
      <c r="K22" s="10"/>
      <c r="L22" s="10"/>
      <c r="M22" s="10"/>
      <c r="N22" s="10">
        <v>72512</v>
      </c>
      <c r="O22" s="10"/>
      <c r="P22" s="10"/>
      <c r="Q22" s="10"/>
      <c r="R22" s="10"/>
      <c r="S22" s="10"/>
      <c r="T22" s="10"/>
      <c r="U22" s="10"/>
      <c r="V22" s="54">
        <v>72512</v>
      </c>
      <c r="W22" s="10"/>
      <c r="X22" s="10">
        <f t="shared" si="3"/>
        <v>72512</v>
      </c>
      <c r="Y22" s="10">
        <f t="shared" si="1"/>
        <v>0</v>
      </c>
      <c r="Z22" s="3"/>
    </row>
    <row r="23" spans="1:27" ht="64.5" customHeight="1" x14ac:dyDescent="0.25">
      <c r="A23" s="8">
        <v>19</v>
      </c>
      <c r="B23" s="12" t="s">
        <v>678</v>
      </c>
      <c r="C23" s="13">
        <v>45392</v>
      </c>
      <c r="D23" s="12" t="s">
        <v>42</v>
      </c>
      <c r="E23" s="51" t="s">
        <v>679</v>
      </c>
      <c r="F23" s="53" t="s">
        <v>1109</v>
      </c>
      <c r="G23" s="10">
        <v>94500</v>
      </c>
      <c r="H23" s="10"/>
      <c r="I23" s="10"/>
      <c r="J23" s="10"/>
      <c r="K23" s="10"/>
      <c r="L23" s="10"/>
      <c r="M23" s="10"/>
      <c r="N23" s="10">
        <v>94500</v>
      </c>
      <c r="O23" s="10"/>
      <c r="P23" s="10"/>
      <c r="Q23" s="10"/>
      <c r="R23" s="10"/>
      <c r="S23" s="10"/>
      <c r="T23" s="10"/>
      <c r="U23" s="10"/>
      <c r="V23" s="54">
        <v>94500</v>
      </c>
      <c r="W23" s="10"/>
      <c r="X23" s="10">
        <f t="shared" si="3"/>
        <v>94500</v>
      </c>
      <c r="Y23" s="10">
        <f t="shared" si="1"/>
        <v>0</v>
      </c>
      <c r="Z23" s="3"/>
    </row>
    <row r="24" spans="1:27" ht="64.5" customHeight="1" x14ac:dyDescent="0.25">
      <c r="A24" s="8">
        <v>20</v>
      </c>
      <c r="B24" s="12" t="s">
        <v>685</v>
      </c>
      <c r="C24" s="13">
        <v>45392</v>
      </c>
      <c r="D24" s="12" t="s">
        <v>42</v>
      </c>
      <c r="E24" s="51" t="s">
        <v>679</v>
      </c>
      <c r="F24" s="53" t="s">
        <v>1110</v>
      </c>
      <c r="G24" s="10">
        <v>85500</v>
      </c>
      <c r="H24" s="10"/>
      <c r="I24" s="10"/>
      <c r="J24" s="10"/>
      <c r="K24" s="10"/>
      <c r="L24" s="10"/>
      <c r="M24" s="10"/>
      <c r="N24" s="10">
        <v>85500</v>
      </c>
      <c r="O24" s="10"/>
      <c r="P24" s="10"/>
      <c r="Q24" s="10"/>
      <c r="R24" s="10"/>
      <c r="S24" s="10"/>
      <c r="T24" s="10"/>
      <c r="U24" s="10"/>
      <c r="V24" s="54">
        <v>85500</v>
      </c>
      <c r="W24" s="10"/>
      <c r="X24" s="10">
        <f t="shared" si="3"/>
        <v>85500</v>
      </c>
      <c r="Y24" s="10">
        <f t="shared" si="1"/>
        <v>0</v>
      </c>
      <c r="Z24" s="3"/>
    </row>
    <row r="25" spans="1:27" ht="64.5" customHeight="1" x14ac:dyDescent="0.25">
      <c r="A25" s="8">
        <v>21</v>
      </c>
      <c r="B25" s="12" t="s">
        <v>696</v>
      </c>
      <c r="C25" s="13">
        <v>45394</v>
      </c>
      <c r="D25" s="12" t="s">
        <v>42</v>
      </c>
      <c r="E25" s="51" t="s">
        <v>697</v>
      </c>
      <c r="F25" s="53" t="s">
        <v>1111</v>
      </c>
      <c r="G25" s="10">
        <v>40600</v>
      </c>
      <c r="H25" s="10"/>
      <c r="I25" s="10"/>
      <c r="J25" s="10"/>
      <c r="K25" s="10"/>
      <c r="L25" s="10"/>
      <c r="M25" s="10"/>
      <c r="N25" s="10">
        <v>40600</v>
      </c>
      <c r="O25" s="10"/>
      <c r="P25" s="10"/>
      <c r="Q25" s="10"/>
      <c r="R25" s="10"/>
      <c r="S25" s="10"/>
      <c r="T25" s="10"/>
      <c r="U25" s="10"/>
      <c r="V25" s="54">
        <v>40600</v>
      </c>
      <c r="W25" s="10"/>
      <c r="X25" s="10">
        <f t="shared" si="3"/>
        <v>40600</v>
      </c>
      <c r="Y25" s="10">
        <f t="shared" si="1"/>
        <v>0</v>
      </c>
      <c r="Z25" s="3"/>
    </row>
    <row r="26" spans="1:27" ht="64.5" customHeight="1" x14ac:dyDescent="0.25">
      <c r="A26" s="8">
        <v>22</v>
      </c>
      <c r="B26" s="12" t="s">
        <v>713</v>
      </c>
      <c r="C26" s="13">
        <v>45397</v>
      </c>
      <c r="D26" s="12" t="s">
        <v>42</v>
      </c>
      <c r="E26" s="51" t="s">
        <v>714</v>
      </c>
      <c r="F26" s="53" t="s">
        <v>1112</v>
      </c>
      <c r="G26" s="10">
        <v>65352.959999999999</v>
      </c>
      <c r="H26" s="10"/>
      <c r="I26" s="10"/>
      <c r="J26" s="10"/>
      <c r="K26" s="10"/>
      <c r="L26" s="10"/>
      <c r="M26" s="10"/>
      <c r="N26" s="10">
        <v>65352.959999999999</v>
      </c>
      <c r="O26" s="10"/>
      <c r="P26" s="10"/>
      <c r="Q26" s="10"/>
      <c r="R26" s="10"/>
      <c r="S26" s="10"/>
      <c r="T26" s="10"/>
      <c r="U26" s="10"/>
      <c r="V26" s="54">
        <v>65352.959999999999</v>
      </c>
      <c r="W26" s="10"/>
      <c r="X26" s="10">
        <f t="shared" si="3"/>
        <v>65352.959999999999</v>
      </c>
      <c r="Y26" s="10">
        <f t="shared" si="1"/>
        <v>0</v>
      </c>
      <c r="Z26" s="3"/>
    </row>
    <row r="27" spans="1:27" ht="77.25" customHeight="1" x14ac:dyDescent="0.25">
      <c r="A27" s="8">
        <v>23</v>
      </c>
      <c r="B27" s="12" t="s">
        <v>715</v>
      </c>
      <c r="C27" s="13">
        <v>44425</v>
      </c>
      <c r="D27" s="12"/>
      <c r="E27" s="56" t="s">
        <v>716</v>
      </c>
      <c r="F27" s="53" t="s">
        <v>1135</v>
      </c>
      <c r="G27" s="10">
        <v>831600</v>
      </c>
      <c r="H27" s="10"/>
      <c r="I27" s="10"/>
      <c r="J27" s="10"/>
      <c r="K27" s="10"/>
      <c r="L27" s="10"/>
      <c r="M27" s="10"/>
      <c r="N27" s="10">
        <v>831600</v>
      </c>
      <c r="O27" s="10"/>
      <c r="P27" s="10"/>
      <c r="Q27" s="10"/>
      <c r="R27" s="10"/>
      <c r="S27" s="10"/>
      <c r="T27" s="10"/>
      <c r="U27" s="10"/>
      <c r="V27" s="54">
        <v>249480</v>
      </c>
      <c r="W27" s="10"/>
      <c r="X27" s="10">
        <f t="shared" si="3"/>
        <v>249480</v>
      </c>
      <c r="Y27" s="49">
        <f t="shared" si="1"/>
        <v>582120</v>
      </c>
      <c r="Z27" s="3"/>
    </row>
    <row r="28" spans="1:27" ht="62.25" customHeight="1" x14ac:dyDescent="0.25">
      <c r="A28" s="8">
        <v>24</v>
      </c>
      <c r="B28" s="12" t="s">
        <v>754</v>
      </c>
      <c r="C28" s="13">
        <v>45408</v>
      </c>
      <c r="D28" s="12" t="s">
        <v>42</v>
      </c>
      <c r="E28" s="51" t="s">
        <v>755</v>
      </c>
      <c r="F28" s="53" t="s">
        <v>756</v>
      </c>
      <c r="G28" s="10">
        <v>56000</v>
      </c>
      <c r="H28" s="10"/>
      <c r="I28" s="10"/>
      <c r="J28" s="10"/>
      <c r="K28" s="10"/>
      <c r="L28" s="10"/>
      <c r="M28" s="10"/>
      <c r="N28" s="10">
        <v>56000</v>
      </c>
      <c r="O28" s="10"/>
      <c r="P28" s="10"/>
      <c r="Q28" s="10"/>
      <c r="R28" s="10"/>
      <c r="S28" s="10"/>
      <c r="T28" s="10"/>
      <c r="U28" s="10"/>
      <c r="V28" s="54">
        <v>56000</v>
      </c>
      <c r="W28" s="10"/>
      <c r="X28" s="10">
        <f t="shared" si="3"/>
        <v>56000</v>
      </c>
      <c r="Y28" s="10">
        <f t="shared" si="1"/>
        <v>0</v>
      </c>
      <c r="Z28" s="3"/>
    </row>
    <row r="29" spans="1:27" ht="119.25" customHeight="1" x14ac:dyDescent="0.25">
      <c r="A29" s="8">
        <v>25</v>
      </c>
      <c r="B29" s="12" t="s">
        <v>815</v>
      </c>
      <c r="C29" s="13">
        <v>45209</v>
      </c>
      <c r="D29" s="12" t="s">
        <v>29</v>
      </c>
      <c r="E29" s="51" t="s">
        <v>1113</v>
      </c>
      <c r="F29" s="53" t="s">
        <v>1114</v>
      </c>
      <c r="G29" s="10">
        <v>17535.599999999999</v>
      </c>
      <c r="H29" s="10"/>
      <c r="I29" s="10"/>
      <c r="J29" s="10"/>
      <c r="K29" s="10"/>
      <c r="L29" s="10"/>
      <c r="M29" s="10"/>
      <c r="N29" s="10">
        <v>17535.599999999999</v>
      </c>
      <c r="O29" s="10"/>
      <c r="P29" s="10"/>
      <c r="Q29" s="10"/>
      <c r="R29" s="10"/>
      <c r="S29" s="10"/>
      <c r="T29" s="10"/>
      <c r="U29" s="10"/>
      <c r="V29" s="54">
        <v>17535.599999999999</v>
      </c>
      <c r="W29" s="10"/>
      <c r="X29" s="10">
        <f t="shared" ref="X29" si="4">SUM(P29:W29)</f>
        <v>17535.599999999999</v>
      </c>
      <c r="Y29" s="10">
        <f t="shared" ref="Y29" si="5">G29-X29</f>
        <v>0</v>
      </c>
      <c r="Z29" s="3"/>
    </row>
    <row r="30" spans="1:27" ht="129.75" customHeight="1" x14ac:dyDescent="0.25">
      <c r="A30" s="8">
        <v>26</v>
      </c>
      <c r="B30" s="24" t="s">
        <v>829</v>
      </c>
      <c r="C30" s="13">
        <v>45418</v>
      </c>
      <c r="D30" s="12" t="s">
        <v>42</v>
      </c>
      <c r="E30" s="51" t="s">
        <v>1155</v>
      </c>
      <c r="F30" s="53" t="s">
        <v>827</v>
      </c>
      <c r="G30" s="10">
        <v>44000</v>
      </c>
      <c r="H30" s="10"/>
      <c r="I30" s="10"/>
      <c r="J30" s="10"/>
      <c r="K30" s="10"/>
      <c r="L30" s="10"/>
      <c r="M30" s="10"/>
      <c r="N30" s="10">
        <v>44000</v>
      </c>
      <c r="O30" s="10"/>
      <c r="P30" s="10"/>
      <c r="Q30" s="10"/>
      <c r="R30" s="10"/>
      <c r="S30" s="10"/>
      <c r="T30" s="10"/>
      <c r="U30" s="10"/>
      <c r="V30" s="54">
        <v>44000</v>
      </c>
      <c r="W30" s="10"/>
      <c r="X30" s="10">
        <f t="shared" ref="X30" si="6">SUM(P30:W30)</f>
        <v>44000</v>
      </c>
      <c r="Y30" s="10">
        <f t="shared" ref="Y30" si="7">G30-X30</f>
        <v>0</v>
      </c>
      <c r="Z30" s="3"/>
    </row>
    <row r="31" spans="1:27" ht="144.75" customHeight="1" x14ac:dyDescent="0.25">
      <c r="A31" s="8">
        <v>27</v>
      </c>
      <c r="B31" s="24" t="s">
        <v>831</v>
      </c>
      <c r="C31" s="13">
        <v>45419</v>
      </c>
      <c r="D31" s="12" t="s">
        <v>42</v>
      </c>
      <c r="E31" s="56" t="s">
        <v>832</v>
      </c>
      <c r="F31" s="53" t="s">
        <v>1136</v>
      </c>
      <c r="G31" s="10">
        <v>55536</v>
      </c>
      <c r="H31" s="10"/>
      <c r="I31" s="10"/>
      <c r="J31" s="10"/>
      <c r="K31" s="10"/>
      <c r="L31" s="10"/>
      <c r="M31" s="10"/>
      <c r="N31" s="10">
        <v>55536</v>
      </c>
      <c r="O31" s="10"/>
      <c r="P31" s="10"/>
      <c r="Q31" s="10"/>
      <c r="R31" s="10"/>
      <c r="S31" s="10"/>
      <c r="T31" s="10"/>
      <c r="U31" s="10"/>
      <c r="V31" s="54">
        <v>55536</v>
      </c>
      <c r="W31" s="10"/>
      <c r="X31" s="10">
        <f t="shared" ref="X31" si="8">SUM(P31:W31)</f>
        <v>55536</v>
      </c>
      <c r="Y31" s="10">
        <f t="shared" ref="Y31" si="9">G31-X31</f>
        <v>0</v>
      </c>
      <c r="Z31" s="3"/>
    </row>
    <row r="32" spans="1:27" ht="147.75" customHeight="1" x14ac:dyDescent="0.25">
      <c r="A32" s="8">
        <v>28</v>
      </c>
      <c r="B32" s="24" t="s">
        <v>833</v>
      </c>
      <c r="C32" s="13">
        <v>45419</v>
      </c>
      <c r="D32" s="12" t="s">
        <v>42</v>
      </c>
      <c r="E32" s="56" t="s">
        <v>832</v>
      </c>
      <c r="F32" s="53" t="s">
        <v>1137</v>
      </c>
      <c r="G32" s="10">
        <v>42720</v>
      </c>
      <c r="H32" s="10"/>
      <c r="I32" s="10"/>
      <c r="J32" s="10"/>
      <c r="K32" s="10"/>
      <c r="L32" s="10"/>
      <c r="M32" s="10"/>
      <c r="N32" s="10">
        <v>42720</v>
      </c>
      <c r="O32" s="10"/>
      <c r="P32" s="10"/>
      <c r="Q32" s="10"/>
      <c r="R32" s="10"/>
      <c r="S32" s="10"/>
      <c r="T32" s="10"/>
      <c r="U32" s="10"/>
      <c r="V32" s="54">
        <v>42720</v>
      </c>
      <c r="W32" s="10"/>
      <c r="X32" s="10">
        <f t="shared" ref="X32" si="10">SUM(P32:W32)</f>
        <v>42720</v>
      </c>
      <c r="Y32" s="10">
        <f t="shared" ref="Y32" si="11">G32-X32</f>
        <v>0</v>
      </c>
      <c r="Z32" s="3"/>
    </row>
    <row r="33" spans="1:26" ht="95.25" customHeight="1" x14ac:dyDescent="0.25">
      <c r="A33" s="8">
        <v>29</v>
      </c>
      <c r="B33" s="24" t="s">
        <v>837</v>
      </c>
      <c r="C33" s="13">
        <v>45419</v>
      </c>
      <c r="D33" s="12" t="s">
        <v>42</v>
      </c>
      <c r="E33" s="51" t="s">
        <v>838</v>
      </c>
      <c r="F33" s="53" t="s">
        <v>1115</v>
      </c>
      <c r="G33" s="10">
        <v>298536</v>
      </c>
      <c r="H33" s="10"/>
      <c r="I33" s="10"/>
      <c r="J33" s="10"/>
      <c r="K33" s="10"/>
      <c r="L33" s="10"/>
      <c r="M33" s="10"/>
      <c r="N33" s="10">
        <v>298536</v>
      </c>
      <c r="O33" s="10"/>
      <c r="P33" s="10"/>
      <c r="Q33" s="10"/>
      <c r="R33" s="10"/>
      <c r="S33" s="10"/>
      <c r="T33" s="10"/>
      <c r="U33" s="10"/>
      <c r="V33" s="54">
        <v>298536</v>
      </c>
      <c r="W33" s="10"/>
      <c r="X33" s="10">
        <f t="shared" ref="X33" si="12">SUM(P33:W33)</f>
        <v>298536</v>
      </c>
      <c r="Y33" s="10">
        <f t="shared" ref="Y33" si="13">G33-X33</f>
        <v>0</v>
      </c>
      <c r="Z33" s="3"/>
    </row>
    <row r="34" spans="1:26" ht="122.25" customHeight="1" x14ac:dyDescent="0.25">
      <c r="A34" s="8">
        <v>30</v>
      </c>
      <c r="B34" s="24" t="s">
        <v>839</v>
      </c>
      <c r="C34" s="13">
        <v>45420</v>
      </c>
      <c r="D34" s="12" t="s">
        <v>42</v>
      </c>
      <c r="E34" s="45" t="s">
        <v>840</v>
      </c>
      <c r="F34" s="53" t="s">
        <v>1139</v>
      </c>
      <c r="G34" s="10">
        <v>179432</v>
      </c>
      <c r="H34" s="10"/>
      <c r="I34" s="10"/>
      <c r="J34" s="10"/>
      <c r="K34" s="10"/>
      <c r="L34" s="10"/>
      <c r="M34" s="10"/>
      <c r="N34" s="10">
        <v>179432</v>
      </c>
      <c r="O34" s="10"/>
      <c r="P34" s="10"/>
      <c r="Q34" s="10"/>
      <c r="R34" s="10"/>
      <c r="S34" s="10"/>
      <c r="T34" s="10"/>
      <c r="U34" s="10"/>
      <c r="V34" s="54"/>
      <c r="W34" s="10"/>
      <c r="X34" s="10">
        <f t="shared" ref="X34" si="14">SUM(P34:W34)</f>
        <v>0</v>
      </c>
      <c r="Y34" s="49">
        <f t="shared" ref="Y34" si="15">G34-X34</f>
        <v>179432</v>
      </c>
      <c r="Z34" s="3"/>
    </row>
    <row r="35" spans="1:26" ht="126.75" customHeight="1" x14ac:dyDescent="0.25">
      <c r="A35" s="8">
        <v>31</v>
      </c>
      <c r="B35" s="24" t="s">
        <v>841</v>
      </c>
      <c r="C35" s="13">
        <v>45420</v>
      </c>
      <c r="D35" s="12" t="s">
        <v>654</v>
      </c>
      <c r="E35" s="51" t="s">
        <v>1156</v>
      </c>
      <c r="F35" s="53" t="s">
        <v>1116</v>
      </c>
      <c r="G35" s="10">
        <v>110000</v>
      </c>
      <c r="H35" s="10"/>
      <c r="I35" s="10"/>
      <c r="J35" s="10"/>
      <c r="K35" s="10"/>
      <c r="L35" s="10"/>
      <c r="M35" s="10"/>
      <c r="N35" s="10">
        <v>110000</v>
      </c>
      <c r="O35" s="10"/>
      <c r="P35" s="10"/>
      <c r="Q35" s="10"/>
      <c r="R35" s="10"/>
      <c r="S35" s="10"/>
      <c r="T35" s="10"/>
      <c r="U35" s="10"/>
      <c r="V35" s="54">
        <v>110000</v>
      </c>
      <c r="W35" s="10"/>
      <c r="X35" s="10">
        <f t="shared" ref="X35" si="16">SUM(P35:W35)</f>
        <v>110000</v>
      </c>
      <c r="Y35" s="10">
        <f t="shared" ref="Y35" si="17">G35-X35</f>
        <v>0</v>
      </c>
      <c r="Z35" s="3"/>
    </row>
    <row r="36" spans="1:26" ht="126" customHeight="1" x14ac:dyDescent="0.25">
      <c r="A36" s="8">
        <v>32</v>
      </c>
      <c r="B36" s="12" t="s">
        <v>844</v>
      </c>
      <c r="C36" s="25">
        <v>45421</v>
      </c>
      <c r="D36" s="13">
        <v>45657</v>
      </c>
      <c r="E36" s="51" t="s">
        <v>1157</v>
      </c>
      <c r="F36" s="53" t="s">
        <v>1117</v>
      </c>
      <c r="G36" s="10">
        <v>74320</v>
      </c>
      <c r="H36" s="10"/>
      <c r="I36" s="10"/>
      <c r="J36" s="10"/>
      <c r="K36" s="10"/>
      <c r="L36" s="10"/>
      <c r="M36" s="10"/>
      <c r="N36" s="10">
        <v>74320</v>
      </c>
      <c r="O36" s="10"/>
      <c r="P36" s="10"/>
      <c r="Q36" s="10"/>
      <c r="R36" s="10"/>
      <c r="S36" s="10"/>
      <c r="T36" s="10"/>
      <c r="U36" s="10"/>
      <c r="V36" s="54">
        <v>74320</v>
      </c>
      <c r="W36" s="10"/>
      <c r="X36" s="10">
        <f t="shared" ref="X36" si="18">SUM(P36:W36)</f>
        <v>74320</v>
      </c>
      <c r="Y36" s="10">
        <f t="shared" ref="Y36" si="19">G36-X36</f>
        <v>0</v>
      </c>
      <c r="Z36" s="3"/>
    </row>
    <row r="37" spans="1:26" ht="129.75" customHeight="1" x14ac:dyDescent="0.25">
      <c r="A37" s="8">
        <v>33</v>
      </c>
      <c r="B37" s="12" t="s">
        <v>850</v>
      </c>
      <c r="C37" s="25">
        <v>45422</v>
      </c>
      <c r="D37" s="13">
        <v>45657</v>
      </c>
      <c r="E37" s="51" t="s">
        <v>1158</v>
      </c>
      <c r="F37" s="53" t="s">
        <v>1118</v>
      </c>
      <c r="G37" s="10">
        <v>51988</v>
      </c>
      <c r="H37" s="10"/>
      <c r="I37" s="10"/>
      <c r="J37" s="10"/>
      <c r="K37" s="10"/>
      <c r="L37" s="10"/>
      <c r="M37" s="10"/>
      <c r="N37" s="10">
        <v>51988</v>
      </c>
      <c r="O37" s="10"/>
      <c r="P37" s="10"/>
      <c r="Q37" s="10"/>
      <c r="R37" s="10"/>
      <c r="S37" s="10"/>
      <c r="T37" s="10"/>
      <c r="U37" s="10"/>
      <c r="V37" s="54">
        <v>51988</v>
      </c>
      <c r="W37" s="10"/>
      <c r="X37" s="10">
        <f t="shared" ref="X37" si="20">SUM(P37:W37)</f>
        <v>51988</v>
      </c>
      <c r="Y37" s="10">
        <f t="shared" ref="Y37" si="21">G37-X37</f>
        <v>0</v>
      </c>
      <c r="Z37" s="3"/>
    </row>
    <row r="38" spans="1:26" ht="93.75" customHeight="1" x14ac:dyDescent="0.25">
      <c r="A38" s="8">
        <v>34</v>
      </c>
      <c r="B38" s="12" t="s">
        <v>853</v>
      </c>
      <c r="C38" s="25">
        <v>45425</v>
      </c>
      <c r="D38" s="13">
        <v>45657</v>
      </c>
      <c r="E38" s="51" t="s">
        <v>854</v>
      </c>
      <c r="F38" s="53" t="s">
        <v>1119</v>
      </c>
      <c r="G38" s="10">
        <v>184607.28</v>
      </c>
      <c r="H38" s="10"/>
      <c r="I38" s="10"/>
      <c r="J38" s="10"/>
      <c r="K38" s="10"/>
      <c r="L38" s="10"/>
      <c r="M38" s="10"/>
      <c r="N38" s="10">
        <v>184607.28</v>
      </c>
      <c r="O38" s="10"/>
      <c r="P38" s="10"/>
      <c r="Q38" s="10"/>
      <c r="R38" s="10"/>
      <c r="S38" s="10"/>
      <c r="T38" s="10"/>
      <c r="U38" s="10"/>
      <c r="V38" s="54">
        <v>184607.28</v>
      </c>
      <c r="W38" s="10"/>
      <c r="X38" s="10">
        <f t="shared" ref="X38" si="22">SUM(P38:W38)</f>
        <v>184607.28</v>
      </c>
      <c r="Y38" s="10">
        <f t="shared" ref="Y38" si="23">G38-X38</f>
        <v>0</v>
      </c>
      <c r="Z38" s="3"/>
    </row>
    <row r="39" spans="1:26" ht="93.75" customHeight="1" x14ac:dyDescent="0.25">
      <c r="A39" s="8">
        <v>35</v>
      </c>
      <c r="B39" s="12" t="s">
        <v>855</v>
      </c>
      <c r="C39" s="25">
        <v>45425</v>
      </c>
      <c r="D39" s="13">
        <v>45657</v>
      </c>
      <c r="E39" s="51" t="s">
        <v>856</v>
      </c>
      <c r="F39" s="53" t="s">
        <v>1120</v>
      </c>
      <c r="G39" s="10">
        <v>562882.31999999995</v>
      </c>
      <c r="H39" s="10"/>
      <c r="I39" s="10"/>
      <c r="J39" s="10"/>
      <c r="K39" s="10"/>
      <c r="L39" s="10"/>
      <c r="M39" s="10"/>
      <c r="N39" s="10">
        <v>562882.31999999995</v>
      </c>
      <c r="O39" s="10"/>
      <c r="P39" s="10"/>
      <c r="Q39" s="10"/>
      <c r="R39" s="10"/>
      <c r="S39" s="10"/>
      <c r="T39" s="10"/>
      <c r="U39" s="10"/>
      <c r="V39" s="54">
        <v>562882.31999999995</v>
      </c>
      <c r="W39" s="10"/>
      <c r="X39" s="10">
        <f t="shared" ref="X39" si="24">SUM(P39:W39)</f>
        <v>562882.31999999995</v>
      </c>
      <c r="Y39" s="10">
        <f t="shared" ref="Y39" si="25">G39-X39</f>
        <v>0</v>
      </c>
      <c r="Z39" s="3"/>
    </row>
    <row r="40" spans="1:26" ht="93.75" customHeight="1" x14ac:dyDescent="0.25">
      <c r="A40" s="8">
        <v>36</v>
      </c>
      <c r="B40" s="12" t="s">
        <v>866</v>
      </c>
      <c r="C40" s="25">
        <v>45426</v>
      </c>
      <c r="D40" s="13">
        <v>45657</v>
      </c>
      <c r="E40" s="51" t="s">
        <v>867</v>
      </c>
      <c r="F40" s="53" t="s">
        <v>1121</v>
      </c>
      <c r="G40" s="10">
        <v>532500</v>
      </c>
      <c r="H40" s="10"/>
      <c r="I40" s="10"/>
      <c r="J40" s="10"/>
      <c r="K40" s="10"/>
      <c r="L40" s="10"/>
      <c r="M40" s="10"/>
      <c r="N40" s="10">
        <v>532500</v>
      </c>
      <c r="O40" s="10"/>
      <c r="P40" s="10"/>
      <c r="Q40" s="10"/>
      <c r="R40" s="10"/>
      <c r="S40" s="10"/>
      <c r="T40" s="10"/>
      <c r="U40" s="10"/>
      <c r="V40" s="54">
        <v>532500</v>
      </c>
      <c r="W40" s="10"/>
      <c r="X40" s="10">
        <f t="shared" ref="X40" si="26">SUM(P40:W40)</f>
        <v>532500</v>
      </c>
      <c r="Y40" s="10">
        <f t="shared" ref="Y40" si="27">G40-X40</f>
        <v>0</v>
      </c>
      <c r="Z40" s="3"/>
    </row>
    <row r="41" spans="1:26" ht="124.5" customHeight="1" x14ac:dyDescent="0.25">
      <c r="A41" s="8">
        <v>37</v>
      </c>
      <c r="B41" s="12" t="s">
        <v>935</v>
      </c>
      <c r="C41" s="25">
        <v>45441</v>
      </c>
      <c r="D41" s="13">
        <v>45657</v>
      </c>
      <c r="E41" s="56" t="s">
        <v>936</v>
      </c>
      <c r="F41" s="53" t="s">
        <v>1138</v>
      </c>
      <c r="G41" s="10">
        <v>17800</v>
      </c>
      <c r="H41" s="10"/>
      <c r="I41" s="10"/>
      <c r="J41" s="10"/>
      <c r="K41" s="10"/>
      <c r="L41" s="10"/>
      <c r="M41" s="10"/>
      <c r="N41" s="10">
        <v>17800</v>
      </c>
      <c r="O41" s="10"/>
      <c r="P41" s="10"/>
      <c r="Q41" s="10"/>
      <c r="R41" s="10"/>
      <c r="S41" s="10"/>
      <c r="T41" s="10"/>
      <c r="U41" s="10"/>
      <c r="V41" s="54">
        <v>17800</v>
      </c>
      <c r="W41" s="10"/>
      <c r="X41" s="10">
        <f t="shared" ref="X41" si="28">SUM(P41:W41)</f>
        <v>17800</v>
      </c>
      <c r="Y41" s="10">
        <f t="shared" ref="Y41" si="29">G41-X41</f>
        <v>0</v>
      </c>
      <c r="Z41" s="3"/>
    </row>
    <row r="42" spans="1:26" ht="124.5" customHeight="1" x14ac:dyDescent="0.25">
      <c r="A42" s="8">
        <v>38</v>
      </c>
      <c r="B42" s="12" t="s">
        <v>939</v>
      </c>
      <c r="C42" s="25">
        <v>45440</v>
      </c>
      <c r="D42" s="13">
        <v>45657</v>
      </c>
      <c r="E42" s="45" t="s">
        <v>940</v>
      </c>
      <c r="F42" s="53" t="s">
        <v>1140</v>
      </c>
      <c r="G42" s="10">
        <v>14800</v>
      </c>
      <c r="H42" s="10"/>
      <c r="I42" s="10"/>
      <c r="J42" s="10"/>
      <c r="K42" s="10"/>
      <c r="L42" s="10"/>
      <c r="M42" s="10"/>
      <c r="N42" s="10"/>
      <c r="O42" s="10">
        <v>14800</v>
      </c>
      <c r="P42" s="10"/>
      <c r="Q42" s="10"/>
      <c r="R42" s="10"/>
      <c r="S42" s="10"/>
      <c r="T42" s="10"/>
      <c r="U42" s="10"/>
      <c r="V42" s="10"/>
      <c r="W42" s="54">
        <v>14800</v>
      </c>
      <c r="X42" s="10">
        <f t="shared" ref="X42" si="30">SUM(P42:W42)</f>
        <v>14800</v>
      </c>
      <c r="Y42" s="10">
        <f t="shared" ref="Y42" si="31">G42-X42</f>
        <v>0</v>
      </c>
      <c r="Z42" s="3"/>
    </row>
    <row r="43" spans="1:26" ht="147.75" customHeight="1" x14ac:dyDescent="0.25">
      <c r="A43" s="8">
        <v>39</v>
      </c>
      <c r="B43" s="12" t="s">
        <v>943</v>
      </c>
      <c r="C43" s="25">
        <v>45446</v>
      </c>
      <c r="D43" s="13">
        <v>45657</v>
      </c>
      <c r="E43" s="56" t="s">
        <v>832</v>
      </c>
      <c r="F43" s="53" t="s">
        <v>1141</v>
      </c>
      <c r="G43" s="10">
        <v>270705.46000000002</v>
      </c>
      <c r="H43" s="10"/>
      <c r="I43" s="10"/>
      <c r="J43" s="10"/>
      <c r="K43" s="10"/>
      <c r="L43" s="10"/>
      <c r="M43" s="10"/>
      <c r="N43" s="10">
        <v>270705.46000000002</v>
      </c>
      <c r="O43" s="10"/>
      <c r="P43" s="10"/>
      <c r="Q43" s="10"/>
      <c r="R43" s="10"/>
      <c r="S43" s="10"/>
      <c r="T43" s="10"/>
      <c r="U43" s="10"/>
      <c r="V43" s="54">
        <v>270705.46000000002</v>
      </c>
      <c r="W43" s="10"/>
      <c r="X43" s="10">
        <f t="shared" ref="X43" si="32">SUM(P43:W43)</f>
        <v>270705.46000000002</v>
      </c>
      <c r="Y43" s="10">
        <f t="shared" ref="Y43" si="33">G43-X43</f>
        <v>0</v>
      </c>
      <c r="Z43" s="3"/>
    </row>
    <row r="44" spans="1:26" ht="144" customHeight="1" x14ac:dyDescent="0.25">
      <c r="A44" s="8">
        <v>40</v>
      </c>
      <c r="B44" s="12" t="s">
        <v>950</v>
      </c>
      <c r="C44" s="25">
        <v>45449</v>
      </c>
      <c r="D44" s="13">
        <v>45657</v>
      </c>
      <c r="E44" s="56" t="s">
        <v>832</v>
      </c>
      <c r="F44" s="53" t="s">
        <v>1142</v>
      </c>
      <c r="G44" s="10">
        <v>267617.32</v>
      </c>
      <c r="H44" s="10"/>
      <c r="I44" s="10"/>
      <c r="J44" s="10"/>
      <c r="K44" s="10"/>
      <c r="L44" s="10"/>
      <c r="M44" s="10"/>
      <c r="N44" s="10">
        <v>267617.32</v>
      </c>
      <c r="O44" s="10"/>
      <c r="P44" s="10"/>
      <c r="Q44" s="10"/>
      <c r="R44" s="10"/>
      <c r="S44" s="10"/>
      <c r="T44" s="10"/>
      <c r="U44" s="10"/>
      <c r="V44" s="54">
        <v>267617.32</v>
      </c>
      <c r="W44" s="10"/>
      <c r="X44" s="10">
        <f t="shared" ref="X44" si="34">SUM(P44:W44)</f>
        <v>267617.32</v>
      </c>
      <c r="Y44" s="10">
        <f t="shared" ref="Y44" si="35">G44-X44</f>
        <v>0</v>
      </c>
      <c r="Z44" s="3"/>
    </row>
    <row r="45" spans="1:26" ht="70.5" customHeight="1" x14ac:dyDescent="0.25">
      <c r="A45" s="8">
        <v>41</v>
      </c>
      <c r="B45" s="12" t="s">
        <v>954</v>
      </c>
      <c r="C45" s="25">
        <v>45454</v>
      </c>
      <c r="D45" s="13">
        <v>45657</v>
      </c>
      <c r="E45" s="55" t="s">
        <v>955</v>
      </c>
      <c r="F45" s="53" t="s">
        <v>1122</v>
      </c>
      <c r="G45" s="10">
        <v>99980</v>
      </c>
      <c r="H45" s="10"/>
      <c r="I45" s="10"/>
      <c r="J45" s="10"/>
      <c r="K45" s="10"/>
      <c r="L45" s="10"/>
      <c r="M45" s="10">
        <v>9516</v>
      </c>
      <c r="N45" s="10">
        <v>90464</v>
      </c>
      <c r="O45" s="10"/>
      <c r="P45" s="10">
        <v>9516</v>
      </c>
      <c r="Q45" s="10"/>
      <c r="R45" s="10"/>
      <c r="S45" s="10"/>
      <c r="T45" s="10"/>
      <c r="U45" s="10"/>
      <c r="V45" s="54">
        <v>90464</v>
      </c>
      <c r="W45" s="10"/>
      <c r="X45" s="10">
        <f t="shared" ref="X45" si="36">SUM(P45:W45)</f>
        <v>99980</v>
      </c>
      <c r="Y45" s="10">
        <f t="shared" ref="Y45" si="37">G45-X45</f>
        <v>0</v>
      </c>
      <c r="Z45" s="3"/>
    </row>
    <row r="46" spans="1:26" ht="174" customHeight="1" x14ac:dyDescent="0.25">
      <c r="A46" s="8">
        <v>42</v>
      </c>
      <c r="B46" s="12" t="s">
        <v>982</v>
      </c>
      <c r="C46" s="25">
        <v>45467</v>
      </c>
      <c r="D46" s="13">
        <v>45657</v>
      </c>
      <c r="E46" s="45" t="s">
        <v>1123</v>
      </c>
      <c r="F46" s="53" t="s">
        <v>1143</v>
      </c>
      <c r="G46" s="10">
        <v>7800</v>
      </c>
      <c r="H46" s="10">
        <v>7800</v>
      </c>
      <c r="I46" s="10"/>
      <c r="J46" s="10"/>
      <c r="K46" s="10"/>
      <c r="L46" s="10"/>
      <c r="M46" s="10"/>
      <c r="N46" s="10"/>
      <c r="O46" s="10"/>
      <c r="P46" s="54">
        <v>7800</v>
      </c>
      <c r="Q46" s="10"/>
      <c r="R46" s="10"/>
      <c r="S46" s="10"/>
      <c r="T46" s="10"/>
      <c r="U46" s="10"/>
      <c r="V46" s="10"/>
      <c r="W46" s="10"/>
      <c r="X46" s="10">
        <f t="shared" ref="X46" si="38">SUM(P46:W46)</f>
        <v>7800</v>
      </c>
      <c r="Y46" s="10">
        <f t="shared" ref="Y46" si="39">G46-X46</f>
        <v>0</v>
      </c>
      <c r="Z46" s="3"/>
    </row>
    <row r="47" spans="1:26" ht="146.25" customHeight="1" x14ac:dyDescent="0.25">
      <c r="A47" s="8">
        <v>43</v>
      </c>
      <c r="B47" s="12" t="s">
        <v>994</v>
      </c>
      <c r="C47" s="25">
        <v>45471</v>
      </c>
      <c r="D47" s="13">
        <v>45657</v>
      </c>
      <c r="E47" s="56" t="s">
        <v>832</v>
      </c>
      <c r="F47" s="53" t="s">
        <v>1144</v>
      </c>
      <c r="G47" s="10">
        <v>1040.4000000000001</v>
      </c>
      <c r="H47" s="10"/>
      <c r="I47" s="10"/>
      <c r="J47" s="10"/>
      <c r="K47" s="10"/>
      <c r="L47" s="10"/>
      <c r="M47" s="10"/>
      <c r="N47" s="10">
        <v>1040.4000000000001</v>
      </c>
      <c r="O47" s="10"/>
      <c r="P47" s="10"/>
      <c r="Q47" s="10"/>
      <c r="R47" s="10"/>
      <c r="S47" s="10"/>
      <c r="T47" s="10"/>
      <c r="U47" s="10"/>
      <c r="V47" s="54">
        <v>1040.4000000000001</v>
      </c>
      <c r="W47" s="10"/>
      <c r="X47" s="10">
        <f t="shared" ref="X47" si="40">SUM(P47:W47)</f>
        <v>1040.4000000000001</v>
      </c>
      <c r="Y47" s="10">
        <f t="shared" ref="Y47" si="41">G47-X47</f>
        <v>0</v>
      </c>
      <c r="Z47" s="3"/>
    </row>
    <row r="48" spans="1:26" ht="144.75" customHeight="1" x14ac:dyDescent="0.25">
      <c r="A48" s="8">
        <v>44</v>
      </c>
      <c r="B48" s="12" t="s">
        <v>995</v>
      </c>
      <c r="C48" s="25">
        <v>45471</v>
      </c>
      <c r="D48" s="13">
        <v>45657</v>
      </c>
      <c r="E48" s="56" t="s">
        <v>832</v>
      </c>
      <c r="F48" s="53" t="s">
        <v>1145</v>
      </c>
      <c r="G48" s="10">
        <v>1056</v>
      </c>
      <c r="H48" s="10"/>
      <c r="I48" s="10"/>
      <c r="J48" s="10"/>
      <c r="K48" s="10"/>
      <c r="L48" s="10"/>
      <c r="M48" s="10"/>
      <c r="N48" s="10">
        <v>1056</v>
      </c>
      <c r="O48" s="10"/>
      <c r="P48" s="10"/>
      <c r="Q48" s="10"/>
      <c r="R48" s="10"/>
      <c r="S48" s="10"/>
      <c r="T48" s="10"/>
      <c r="U48" s="10"/>
      <c r="V48" s="54">
        <v>1056</v>
      </c>
      <c r="W48" s="10"/>
      <c r="X48" s="10">
        <f t="shared" ref="X48" si="42">SUM(P48:W48)</f>
        <v>1056</v>
      </c>
      <c r="Y48" s="10">
        <f t="shared" ref="Y48" si="43">G48-X48</f>
        <v>0</v>
      </c>
      <c r="Z48" s="3"/>
    </row>
    <row r="49" spans="1:26" ht="159.75" customHeight="1" x14ac:dyDescent="0.25">
      <c r="A49" s="8">
        <v>45</v>
      </c>
      <c r="B49" s="12" t="s">
        <v>996</v>
      </c>
      <c r="C49" s="25">
        <v>45471</v>
      </c>
      <c r="D49" s="13">
        <v>45657</v>
      </c>
      <c r="E49" s="56" t="s">
        <v>997</v>
      </c>
      <c r="F49" s="53" t="s">
        <v>1146</v>
      </c>
      <c r="G49" s="10">
        <v>3257</v>
      </c>
      <c r="H49" s="10"/>
      <c r="I49" s="10"/>
      <c r="J49" s="10"/>
      <c r="K49" s="10"/>
      <c r="L49" s="10"/>
      <c r="M49" s="10"/>
      <c r="N49" s="10">
        <v>3257</v>
      </c>
      <c r="O49" s="10"/>
      <c r="P49" s="10"/>
      <c r="Q49" s="10"/>
      <c r="R49" s="10"/>
      <c r="S49" s="10"/>
      <c r="T49" s="10"/>
      <c r="U49" s="10"/>
      <c r="V49" s="54">
        <v>3257</v>
      </c>
      <c r="W49" s="10"/>
      <c r="X49" s="10">
        <f t="shared" ref="X49" si="44">SUM(P49:W49)</f>
        <v>3257</v>
      </c>
      <c r="Y49" s="10">
        <f t="shared" ref="Y49" si="45">G49-X49</f>
        <v>0</v>
      </c>
      <c r="Z49" s="3"/>
    </row>
    <row r="50" spans="1:26" ht="159.75" customHeight="1" x14ac:dyDescent="0.25">
      <c r="A50" s="8">
        <v>46</v>
      </c>
      <c r="B50" s="12" t="s">
        <v>998</v>
      </c>
      <c r="C50" s="25">
        <v>45471</v>
      </c>
      <c r="D50" s="13">
        <v>45657</v>
      </c>
      <c r="E50" s="56" t="s">
        <v>997</v>
      </c>
      <c r="F50" s="53" t="s">
        <v>1147</v>
      </c>
      <c r="G50" s="10">
        <v>3309</v>
      </c>
      <c r="H50" s="10"/>
      <c r="I50" s="10"/>
      <c r="J50" s="10"/>
      <c r="K50" s="10"/>
      <c r="L50" s="10"/>
      <c r="M50" s="10"/>
      <c r="N50" s="10">
        <v>3309</v>
      </c>
      <c r="O50" s="10"/>
      <c r="P50" s="10"/>
      <c r="Q50" s="10"/>
      <c r="R50" s="10"/>
      <c r="S50" s="10"/>
      <c r="T50" s="10"/>
      <c r="U50" s="10"/>
      <c r="V50" s="54">
        <v>3309</v>
      </c>
      <c r="W50" s="10"/>
      <c r="X50" s="10">
        <f t="shared" ref="X50" si="46">SUM(P50:W50)</f>
        <v>3309</v>
      </c>
      <c r="Y50" s="10">
        <f t="shared" ref="Y50" si="47">G50-X50</f>
        <v>0</v>
      </c>
      <c r="Z50" s="3"/>
    </row>
    <row r="51" spans="1:26" ht="119.25" customHeight="1" x14ac:dyDescent="0.25">
      <c r="A51" s="8">
        <v>47</v>
      </c>
      <c r="B51" s="12" t="s">
        <v>1013</v>
      </c>
      <c r="C51" s="25">
        <v>45475</v>
      </c>
      <c r="D51" s="13">
        <v>45657</v>
      </c>
      <c r="E51" s="56" t="s">
        <v>1014</v>
      </c>
      <c r="F51" s="53" t="s">
        <v>1148</v>
      </c>
      <c r="G51" s="10">
        <v>3822367.62</v>
      </c>
      <c r="H51" s="10"/>
      <c r="I51" s="10"/>
      <c r="J51" s="10"/>
      <c r="K51" s="10"/>
      <c r="L51" s="10"/>
      <c r="M51" s="10"/>
      <c r="N51" s="10">
        <v>3822367.62</v>
      </c>
      <c r="O51" s="10"/>
      <c r="P51" s="10"/>
      <c r="Q51" s="10"/>
      <c r="R51" s="10"/>
      <c r="S51" s="10"/>
      <c r="T51" s="10"/>
      <c r="U51" s="10"/>
      <c r="V51" s="54">
        <f>511163.81+419238.67+551679.41+718923.07</f>
        <v>2201004.96</v>
      </c>
      <c r="W51" s="10"/>
      <c r="X51" s="10">
        <f t="shared" ref="X51" si="48">SUM(P51:W51)</f>
        <v>2201004.96</v>
      </c>
      <c r="Y51" s="49">
        <f t="shared" ref="Y51" si="49">G51-X51</f>
        <v>1621362.6600000001</v>
      </c>
      <c r="Z51" s="3"/>
    </row>
    <row r="52" spans="1:26" ht="127.5" customHeight="1" x14ac:dyDescent="0.25">
      <c r="A52" s="8">
        <v>48</v>
      </c>
      <c r="B52" s="12" t="s">
        <v>1015</v>
      </c>
      <c r="C52" s="25">
        <v>44783</v>
      </c>
      <c r="D52" s="13">
        <v>45516</v>
      </c>
      <c r="E52" s="4" t="s">
        <v>1149</v>
      </c>
      <c r="F52" s="53" t="s">
        <v>1150</v>
      </c>
      <c r="G52" s="10">
        <f>1757930.57-543875.29</f>
        <v>1214055.28</v>
      </c>
      <c r="H52" s="10"/>
      <c r="I52" s="10"/>
      <c r="J52" s="10"/>
      <c r="K52" s="10"/>
      <c r="L52" s="10"/>
      <c r="M52" s="10"/>
      <c r="N52" s="10">
        <f>1757930.57-543875.29</f>
        <v>1214055.28</v>
      </c>
      <c r="O52" s="10"/>
      <c r="P52" s="10"/>
      <c r="Q52" s="10"/>
      <c r="R52" s="10"/>
      <c r="S52" s="10"/>
      <c r="T52" s="10"/>
      <c r="U52" s="10"/>
      <c r="V52" s="54">
        <f>247700.36+607909.18+187468.99+170976.75</f>
        <v>1214055.28</v>
      </c>
      <c r="W52" s="10"/>
      <c r="X52" s="10">
        <f t="shared" ref="X52" si="50">SUM(P52:W52)</f>
        <v>1214055.28</v>
      </c>
      <c r="Y52" s="49">
        <f t="shared" ref="Y52" si="51">G52-X52</f>
        <v>0</v>
      </c>
      <c r="Z52" s="3"/>
    </row>
    <row r="53" spans="1:26" ht="105" customHeight="1" x14ac:dyDescent="0.25">
      <c r="A53" s="8">
        <v>49</v>
      </c>
      <c r="B53" s="12" t="s">
        <v>1022</v>
      </c>
      <c r="C53" s="25">
        <v>45476</v>
      </c>
      <c r="D53" s="13">
        <v>45657</v>
      </c>
      <c r="E53" s="51" t="s">
        <v>1023</v>
      </c>
      <c r="F53" s="53" t="s">
        <v>1124</v>
      </c>
      <c r="G53" s="10">
        <v>57026</v>
      </c>
      <c r="H53" s="10"/>
      <c r="I53" s="10"/>
      <c r="J53" s="10"/>
      <c r="K53" s="10"/>
      <c r="L53" s="10"/>
      <c r="M53" s="10"/>
      <c r="N53" s="10">
        <v>57026</v>
      </c>
      <c r="O53" s="10"/>
      <c r="P53" s="10"/>
      <c r="Q53" s="10"/>
      <c r="R53" s="10"/>
      <c r="S53" s="10"/>
      <c r="T53" s="10"/>
      <c r="U53" s="10"/>
      <c r="V53" s="54">
        <v>57026</v>
      </c>
      <c r="W53" s="10"/>
      <c r="X53" s="10">
        <f t="shared" ref="X53" si="52">SUM(P53:W53)</f>
        <v>57026</v>
      </c>
      <c r="Y53" s="10">
        <f t="shared" ref="Y53" si="53">G53-X53</f>
        <v>0</v>
      </c>
      <c r="Z53" s="3"/>
    </row>
    <row r="54" spans="1:26" ht="93.75" customHeight="1" x14ac:dyDescent="0.25">
      <c r="A54" s="8">
        <v>50</v>
      </c>
      <c r="B54" s="12" t="s">
        <v>1056</v>
      </c>
      <c r="C54" s="25">
        <v>45484</v>
      </c>
      <c r="D54" s="13">
        <v>45657</v>
      </c>
      <c r="E54" s="51" t="s">
        <v>1057</v>
      </c>
      <c r="F54" s="53" t="s">
        <v>1125</v>
      </c>
      <c r="G54" s="10">
        <v>1428</v>
      </c>
      <c r="H54" s="10"/>
      <c r="I54" s="10"/>
      <c r="J54" s="10"/>
      <c r="K54" s="10"/>
      <c r="L54" s="10"/>
      <c r="M54" s="10"/>
      <c r="N54" s="10">
        <v>1428</v>
      </c>
      <c r="O54" s="10"/>
      <c r="P54" s="10"/>
      <c r="Q54" s="10"/>
      <c r="R54" s="10"/>
      <c r="S54" s="10"/>
      <c r="T54" s="10"/>
      <c r="U54" s="10"/>
      <c r="V54" s="54">
        <v>1428</v>
      </c>
      <c r="W54" s="10"/>
      <c r="X54" s="10">
        <f t="shared" ref="X54" si="54">SUM(P54:W54)</f>
        <v>1428</v>
      </c>
      <c r="Y54" s="10">
        <f t="shared" ref="Y54" si="55">G54-X54</f>
        <v>0</v>
      </c>
      <c r="Z54" s="3"/>
    </row>
    <row r="55" spans="1:26" ht="133.5" customHeight="1" x14ac:dyDescent="0.25">
      <c r="A55" s="8">
        <v>51</v>
      </c>
      <c r="B55" s="12" t="s">
        <v>1058</v>
      </c>
      <c r="C55" s="25">
        <v>45483</v>
      </c>
      <c r="D55" s="13">
        <v>45657</v>
      </c>
      <c r="E55" s="4" t="s">
        <v>1059</v>
      </c>
      <c r="F55" s="53" t="s">
        <v>1151</v>
      </c>
      <c r="G55" s="10">
        <v>54365.46</v>
      </c>
      <c r="H55" s="10"/>
      <c r="I55" s="10"/>
      <c r="J55" s="10"/>
      <c r="K55" s="10"/>
      <c r="L55" s="10"/>
      <c r="M55" s="10"/>
      <c r="N55" s="10">
        <v>54365.46</v>
      </c>
      <c r="O55" s="10"/>
      <c r="P55" s="10"/>
      <c r="Q55" s="10"/>
      <c r="R55" s="10"/>
      <c r="S55" s="10"/>
      <c r="T55" s="10"/>
      <c r="U55" s="10"/>
      <c r="V55" s="54">
        <f>7296.83+5995.7+8059.16+10406.9</f>
        <v>31758.589999999997</v>
      </c>
      <c r="W55" s="10"/>
      <c r="X55" s="10">
        <f t="shared" ref="X55" si="56">SUM(P55:W55)</f>
        <v>31758.589999999997</v>
      </c>
      <c r="Y55" s="49">
        <f t="shared" ref="Y55" si="57">G55-X55</f>
        <v>22606.870000000003</v>
      </c>
      <c r="Z55" s="3"/>
    </row>
    <row r="56" spans="1:26" ht="60.75" customHeight="1" x14ac:dyDescent="0.25">
      <c r="A56" s="8">
        <v>52</v>
      </c>
      <c r="B56" s="12" t="s">
        <v>1076</v>
      </c>
      <c r="C56" s="25">
        <v>45488</v>
      </c>
      <c r="D56" s="13">
        <v>45657</v>
      </c>
      <c r="E56" s="4" t="s">
        <v>1077</v>
      </c>
      <c r="F56" s="53" t="s">
        <v>1152</v>
      </c>
      <c r="G56" s="10">
        <v>93786</v>
      </c>
      <c r="H56" s="10"/>
      <c r="I56" s="10"/>
      <c r="J56" s="10"/>
      <c r="K56" s="10"/>
      <c r="L56" s="10"/>
      <c r="M56" s="10"/>
      <c r="N56" s="10">
        <v>93786</v>
      </c>
      <c r="O56" s="10"/>
      <c r="P56" s="10"/>
      <c r="Q56" s="10"/>
      <c r="R56" s="10"/>
      <c r="S56" s="10"/>
      <c r="T56" s="10"/>
      <c r="U56" s="10"/>
      <c r="V56" s="10">
        <v>93786</v>
      </c>
      <c r="W56" s="10"/>
      <c r="X56" s="10">
        <f t="shared" ref="X56" si="58">SUM(P56:W56)</f>
        <v>93786</v>
      </c>
      <c r="Y56" s="49">
        <f t="shared" ref="Y56" si="59">G56-X56</f>
        <v>0</v>
      </c>
      <c r="Z56" s="3"/>
    </row>
    <row r="57" spans="1:26" ht="121.5" customHeight="1" x14ac:dyDescent="0.25">
      <c r="A57" s="8">
        <v>53</v>
      </c>
      <c r="B57" s="12" t="s">
        <v>1085</v>
      </c>
      <c r="C57" s="25">
        <v>45490</v>
      </c>
      <c r="D57" s="13">
        <v>45657</v>
      </c>
      <c r="E57" s="4" t="s">
        <v>1086</v>
      </c>
      <c r="F57" s="53" t="s">
        <v>1153</v>
      </c>
      <c r="G57" s="10">
        <v>15504</v>
      </c>
      <c r="H57" s="10"/>
      <c r="I57" s="10"/>
      <c r="J57" s="10"/>
      <c r="K57" s="10"/>
      <c r="L57" s="10"/>
      <c r="M57" s="10"/>
      <c r="N57" s="10">
        <v>15504</v>
      </c>
      <c r="O57" s="10"/>
      <c r="P57" s="10"/>
      <c r="Q57" s="10"/>
      <c r="R57" s="10"/>
      <c r="S57" s="10"/>
      <c r="T57" s="10"/>
      <c r="U57" s="10"/>
      <c r="V57" s="54"/>
      <c r="W57" s="10"/>
      <c r="X57" s="10">
        <f t="shared" ref="X57" si="60">SUM(P57:W57)</f>
        <v>0</v>
      </c>
      <c r="Y57" s="49">
        <f t="shared" ref="Y57" si="61">G57-X57</f>
        <v>15504</v>
      </c>
      <c r="Z57" s="3"/>
    </row>
    <row r="58" spans="1:26" ht="62.25" customHeight="1" x14ac:dyDescent="0.25">
      <c r="A58" s="8">
        <v>54</v>
      </c>
      <c r="B58" s="12" t="s">
        <v>1096</v>
      </c>
      <c r="C58" s="25">
        <v>45495</v>
      </c>
      <c r="D58" s="13">
        <v>45657</v>
      </c>
      <c r="E58" s="4" t="s">
        <v>1077</v>
      </c>
      <c r="F58" s="53" t="s">
        <v>1154</v>
      </c>
      <c r="G58" s="10">
        <v>171222</v>
      </c>
      <c r="H58" s="10"/>
      <c r="I58" s="10"/>
      <c r="J58" s="10"/>
      <c r="K58" s="10"/>
      <c r="L58" s="10"/>
      <c r="M58" s="10"/>
      <c r="N58" s="10">
        <v>171222</v>
      </c>
      <c r="O58" s="10"/>
      <c r="P58" s="10"/>
      <c r="Q58" s="10"/>
      <c r="R58" s="10"/>
      <c r="S58" s="10"/>
      <c r="T58" s="10"/>
      <c r="U58" s="10"/>
      <c r="V58" s="10">
        <v>171222</v>
      </c>
      <c r="W58" s="10"/>
      <c r="X58" s="10">
        <f t="shared" ref="X58" si="62">SUM(P58:W58)</f>
        <v>171222</v>
      </c>
      <c r="Y58" s="49">
        <f t="shared" ref="Y58" si="63">G58-X58</f>
        <v>0</v>
      </c>
      <c r="Z58" s="3"/>
    </row>
    <row r="59" spans="1:26" ht="163.5" customHeight="1" x14ac:dyDescent="0.25">
      <c r="A59" s="8">
        <v>55</v>
      </c>
      <c r="B59" s="12" t="s">
        <v>187</v>
      </c>
      <c r="C59" s="13">
        <v>45418</v>
      </c>
      <c r="D59" s="12" t="s">
        <v>42</v>
      </c>
      <c r="E59" s="4" t="s">
        <v>1161</v>
      </c>
      <c r="F59" s="53" t="s">
        <v>1160</v>
      </c>
      <c r="G59" s="10">
        <v>698551.81</v>
      </c>
      <c r="H59" s="10"/>
      <c r="I59" s="10"/>
      <c r="J59" s="10"/>
      <c r="K59" s="10"/>
      <c r="L59" s="10"/>
      <c r="M59" s="10"/>
      <c r="N59" s="10">
        <v>698551.81</v>
      </c>
      <c r="O59" s="10"/>
      <c r="P59" s="10"/>
      <c r="Q59" s="10"/>
      <c r="R59" s="10"/>
      <c r="S59" s="10"/>
      <c r="T59" s="10"/>
      <c r="U59" s="10"/>
      <c r="V59" s="54">
        <f>314603.13+188471.31</f>
        <v>503074.44</v>
      </c>
      <c r="W59" s="10"/>
      <c r="X59" s="10">
        <f t="shared" ref="X59" si="64">SUM(P59:W59)</f>
        <v>503074.44</v>
      </c>
      <c r="Y59" s="49">
        <f t="shared" ref="Y59" si="65">G59-X59</f>
        <v>195477.37000000005</v>
      </c>
      <c r="Z59" s="3"/>
    </row>
    <row r="60" spans="1:26" ht="129.75" customHeight="1" x14ac:dyDescent="0.25">
      <c r="A60" s="8">
        <v>56</v>
      </c>
      <c r="B60" s="12" t="s">
        <v>1165</v>
      </c>
      <c r="C60" s="13">
        <v>45111</v>
      </c>
      <c r="D60" s="12" t="s">
        <v>42</v>
      </c>
      <c r="E60" s="4" t="s">
        <v>1166</v>
      </c>
      <c r="F60" s="53" t="s">
        <v>1167</v>
      </c>
      <c r="G60" s="10">
        <v>30160.22</v>
      </c>
      <c r="H60" s="10"/>
      <c r="I60" s="10"/>
      <c r="J60" s="10"/>
      <c r="K60" s="10"/>
      <c r="L60" s="10"/>
      <c r="M60" s="10"/>
      <c r="N60" s="10">
        <v>30160.22</v>
      </c>
      <c r="O60" s="10"/>
      <c r="P60" s="10"/>
      <c r="Q60" s="10"/>
      <c r="R60" s="10"/>
      <c r="S60" s="10"/>
      <c r="T60" s="10"/>
      <c r="U60" s="10"/>
      <c r="V60" s="54">
        <f>15093.35+2486.65</f>
        <v>17580</v>
      </c>
      <c r="W60" s="10"/>
      <c r="X60" s="10">
        <f t="shared" ref="X60" si="66">SUM(P60:W60)</f>
        <v>17580</v>
      </c>
      <c r="Y60" s="49">
        <f t="shared" ref="Y60" si="67">G60-X60</f>
        <v>12580.220000000001</v>
      </c>
      <c r="Z60" s="3"/>
    </row>
    <row r="61" spans="1:26" ht="81.75" customHeight="1" x14ac:dyDescent="0.25">
      <c r="A61" s="8">
        <v>57</v>
      </c>
      <c r="B61" s="12" t="s">
        <v>1168</v>
      </c>
      <c r="C61" s="13">
        <v>45488</v>
      </c>
      <c r="D61" s="12" t="s">
        <v>42</v>
      </c>
      <c r="E61" s="4" t="s">
        <v>1169</v>
      </c>
      <c r="F61" s="53" t="s">
        <v>1170</v>
      </c>
      <c r="G61" s="10">
        <v>116920</v>
      </c>
      <c r="H61" s="10"/>
      <c r="I61" s="10"/>
      <c r="J61" s="10"/>
      <c r="K61" s="10"/>
      <c r="L61" s="10"/>
      <c r="M61" s="10"/>
      <c r="N61" s="10">
        <v>116920</v>
      </c>
      <c r="O61" s="10"/>
      <c r="P61" s="10"/>
      <c r="Q61" s="10"/>
      <c r="R61" s="10"/>
      <c r="S61" s="10"/>
      <c r="T61" s="10"/>
      <c r="U61" s="10"/>
      <c r="V61" s="54">
        <v>116919.6</v>
      </c>
      <c r="W61" s="10"/>
      <c r="X61" s="10">
        <f t="shared" ref="X61" si="68">SUM(P61:W61)</f>
        <v>116919.6</v>
      </c>
      <c r="Y61" s="49">
        <f t="shared" ref="Y61" si="69">G61-X61</f>
        <v>0.39999999999417923</v>
      </c>
      <c r="Z61" s="3"/>
    </row>
    <row r="62" spans="1:26" ht="108" customHeight="1" x14ac:dyDescent="0.25">
      <c r="A62" s="8">
        <v>58</v>
      </c>
      <c r="B62" s="12" t="s">
        <v>1176</v>
      </c>
      <c r="C62" s="13">
        <v>45482</v>
      </c>
      <c r="D62" s="12" t="s">
        <v>42</v>
      </c>
      <c r="E62" s="4" t="s">
        <v>1177</v>
      </c>
      <c r="F62" s="53" t="s">
        <v>1178</v>
      </c>
      <c r="G62" s="10">
        <v>10680</v>
      </c>
      <c r="H62" s="10"/>
      <c r="I62" s="10"/>
      <c r="J62" s="10"/>
      <c r="K62" s="10"/>
      <c r="L62" s="10"/>
      <c r="M62" s="10"/>
      <c r="N62" s="10">
        <v>10680</v>
      </c>
      <c r="O62" s="10"/>
      <c r="P62" s="10"/>
      <c r="Q62" s="10"/>
      <c r="R62" s="10"/>
      <c r="S62" s="10"/>
      <c r="T62" s="10"/>
      <c r="U62" s="10"/>
      <c r="V62" s="54">
        <v>10680</v>
      </c>
      <c r="W62" s="10"/>
      <c r="X62" s="10">
        <f t="shared" ref="X62" si="70">SUM(P62:W62)</f>
        <v>10680</v>
      </c>
      <c r="Y62" s="49">
        <f t="shared" ref="Y62" si="71">G62-X62</f>
        <v>0</v>
      </c>
      <c r="Z62" s="3"/>
    </row>
    <row r="63" spans="1:26" ht="95.25" customHeight="1" x14ac:dyDescent="0.25">
      <c r="A63" s="8">
        <v>59</v>
      </c>
      <c r="B63" s="12" t="s">
        <v>1179</v>
      </c>
      <c r="C63" s="13">
        <v>45505</v>
      </c>
      <c r="D63" s="12" t="s">
        <v>42</v>
      </c>
      <c r="E63" s="4" t="s">
        <v>1180</v>
      </c>
      <c r="F63" s="53" t="s">
        <v>1181</v>
      </c>
      <c r="G63" s="10">
        <v>2136</v>
      </c>
      <c r="H63" s="10"/>
      <c r="I63" s="10"/>
      <c r="J63" s="10"/>
      <c r="K63" s="10"/>
      <c r="L63" s="10"/>
      <c r="M63" s="10"/>
      <c r="N63" s="10">
        <v>2136</v>
      </c>
      <c r="O63" s="10"/>
      <c r="P63" s="10"/>
      <c r="Q63" s="10"/>
      <c r="R63" s="10"/>
      <c r="S63" s="10"/>
      <c r="T63" s="10"/>
      <c r="U63" s="10"/>
      <c r="V63" s="54">
        <v>2136</v>
      </c>
      <c r="W63" s="10"/>
      <c r="X63" s="10">
        <f t="shared" ref="X63" si="72">SUM(P63:W63)</f>
        <v>2136</v>
      </c>
      <c r="Y63" s="49">
        <f t="shared" ref="Y63" si="73">G63-X63</f>
        <v>0</v>
      </c>
      <c r="Z63" s="3"/>
    </row>
    <row r="64" spans="1:26" ht="95.25" customHeight="1" x14ac:dyDescent="0.25">
      <c r="A64" s="8">
        <v>60</v>
      </c>
      <c r="B64" s="12" t="s">
        <v>1187</v>
      </c>
      <c r="C64" s="13">
        <v>45509</v>
      </c>
      <c r="D64" s="12" t="s">
        <v>42</v>
      </c>
      <c r="E64" s="4" t="s">
        <v>1188</v>
      </c>
      <c r="F64" s="53" t="s">
        <v>1189</v>
      </c>
      <c r="G64" s="10">
        <v>1437</v>
      </c>
      <c r="H64" s="10"/>
      <c r="I64" s="10"/>
      <c r="J64" s="10"/>
      <c r="K64" s="10"/>
      <c r="L64" s="10"/>
      <c r="M64" s="10"/>
      <c r="N64" s="10">
        <v>1437</v>
      </c>
      <c r="O64" s="10"/>
      <c r="P64" s="10"/>
      <c r="Q64" s="10"/>
      <c r="R64" s="10"/>
      <c r="S64" s="10"/>
      <c r="T64" s="10"/>
      <c r="U64" s="10"/>
      <c r="V64" s="54">
        <v>1437</v>
      </c>
      <c r="W64" s="10"/>
      <c r="X64" s="10">
        <f t="shared" ref="X64" si="74">SUM(P64:W64)</f>
        <v>1437</v>
      </c>
      <c r="Y64" s="49">
        <f t="shared" ref="Y64" si="75">G64-X64</f>
        <v>0</v>
      </c>
      <c r="Z64" s="3"/>
    </row>
    <row r="65" spans="1:26" ht="132" customHeight="1" x14ac:dyDescent="0.25">
      <c r="A65" s="8">
        <v>61</v>
      </c>
      <c r="B65" s="12" t="s">
        <v>1193</v>
      </c>
      <c r="C65" s="13">
        <v>45516</v>
      </c>
      <c r="D65" s="12" t="s">
        <v>42</v>
      </c>
      <c r="E65" s="4" t="s">
        <v>1194</v>
      </c>
      <c r="F65" s="53" t="s">
        <v>1195</v>
      </c>
      <c r="G65" s="10">
        <v>1642026.01</v>
      </c>
      <c r="H65" s="10"/>
      <c r="I65" s="10"/>
      <c r="J65" s="10"/>
      <c r="K65" s="10"/>
      <c r="L65" s="10"/>
      <c r="M65" s="10"/>
      <c r="N65" s="10">
        <v>1642026.01</v>
      </c>
      <c r="O65" s="10"/>
      <c r="P65" s="10"/>
      <c r="Q65" s="10"/>
      <c r="R65" s="10"/>
      <c r="S65" s="10"/>
      <c r="T65" s="10"/>
      <c r="U65" s="10"/>
      <c r="V65" s="54">
        <f>1588030.1+52771.39</f>
        <v>1640801.49</v>
      </c>
      <c r="W65" s="10"/>
      <c r="X65" s="10">
        <f t="shared" ref="X65" si="76">SUM(P65:W65)</f>
        <v>1640801.49</v>
      </c>
      <c r="Y65" s="49">
        <f t="shared" ref="Y65" si="77">G65-X65</f>
        <v>1224.5200000000186</v>
      </c>
      <c r="Z65" s="3"/>
    </row>
    <row r="66" spans="1:26" ht="132" customHeight="1" x14ac:dyDescent="0.25">
      <c r="A66" s="8">
        <v>62</v>
      </c>
      <c r="B66" s="12" t="s">
        <v>1200</v>
      </c>
      <c r="C66" s="13">
        <v>45519</v>
      </c>
      <c r="D66" s="12" t="s">
        <v>42</v>
      </c>
      <c r="E66" s="4" t="s">
        <v>1194</v>
      </c>
      <c r="F66" s="53" t="s">
        <v>1201</v>
      </c>
      <c r="G66" s="10">
        <v>6362.4</v>
      </c>
      <c r="H66" s="10"/>
      <c r="I66" s="10"/>
      <c r="J66" s="10"/>
      <c r="K66" s="10"/>
      <c r="L66" s="10"/>
      <c r="M66" s="10"/>
      <c r="N66" s="10">
        <v>6362.4</v>
      </c>
      <c r="O66" s="10"/>
      <c r="P66" s="10"/>
      <c r="Q66" s="10"/>
      <c r="R66" s="10"/>
      <c r="S66" s="10"/>
      <c r="T66" s="10"/>
      <c r="U66" s="10"/>
      <c r="V66" s="54">
        <v>6362.4</v>
      </c>
      <c r="W66" s="10"/>
      <c r="X66" s="10">
        <f t="shared" ref="X66" si="78">SUM(P66:W66)</f>
        <v>6362.4</v>
      </c>
      <c r="Y66" s="49">
        <f t="shared" ref="Y66" si="79">G66-X66</f>
        <v>0</v>
      </c>
      <c r="Z66" s="3"/>
    </row>
    <row r="67" spans="1:26" ht="132.75" customHeight="1" x14ac:dyDescent="0.25">
      <c r="A67" s="8">
        <v>63</v>
      </c>
      <c r="B67" s="12" t="s">
        <v>1205</v>
      </c>
      <c r="C67" s="13">
        <v>45520</v>
      </c>
      <c r="D67" s="12" t="s">
        <v>42</v>
      </c>
      <c r="E67" s="4" t="s">
        <v>1206</v>
      </c>
      <c r="F67" s="53" t="s">
        <v>1207</v>
      </c>
      <c r="G67" s="10">
        <v>23061.68</v>
      </c>
      <c r="H67" s="10"/>
      <c r="I67" s="10"/>
      <c r="J67" s="10"/>
      <c r="K67" s="10"/>
      <c r="L67" s="10"/>
      <c r="M67" s="10"/>
      <c r="N67" s="10">
        <v>23061.68</v>
      </c>
      <c r="O67" s="10"/>
      <c r="P67" s="10"/>
      <c r="Q67" s="10"/>
      <c r="R67" s="10"/>
      <c r="S67" s="10"/>
      <c r="T67" s="10"/>
      <c r="U67" s="10"/>
      <c r="V67" s="54">
        <v>23043.439999999999</v>
      </c>
      <c r="W67" s="10"/>
      <c r="X67" s="10">
        <f t="shared" ref="X67" si="80">SUM(P67:W67)</f>
        <v>23043.439999999999</v>
      </c>
      <c r="Y67" s="49">
        <f t="shared" ref="Y67" si="81">G67-X67</f>
        <v>18.240000000001601</v>
      </c>
      <c r="Z67" s="3"/>
    </row>
    <row r="68" spans="1:26" ht="156.75" customHeight="1" x14ac:dyDescent="0.25">
      <c r="A68" s="8">
        <v>64</v>
      </c>
      <c r="B68" s="12" t="s">
        <v>302</v>
      </c>
      <c r="C68" s="13">
        <v>45523</v>
      </c>
      <c r="D68" s="12" t="s">
        <v>42</v>
      </c>
      <c r="E68" s="4" t="s">
        <v>1194</v>
      </c>
      <c r="F68" s="53" t="s">
        <v>1210</v>
      </c>
      <c r="G68" s="10">
        <f>41024.4-3172.8</f>
        <v>37851.599999999999</v>
      </c>
      <c r="H68" s="10"/>
      <c r="I68" s="10"/>
      <c r="J68" s="10"/>
      <c r="K68" s="10"/>
      <c r="L68" s="10"/>
      <c r="M68" s="10"/>
      <c r="N68" s="10">
        <f>41024.4-3172.8</f>
        <v>37851.599999999999</v>
      </c>
      <c r="O68" s="10"/>
      <c r="P68" s="10"/>
      <c r="Q68" s="10"/>
      <c r="R68" s="10"/>
      <c r="S68" s="10"/>
      <c r="T68" s="10"/>
      <c r="U68" s="10"/>
      <c r="V68" s="54">
        <v>37851.599999999999</v>
      </c>
      <c r="W68" s="10"/>
      <c r="X68" s="10">
        <f t="shared" ref="X68" si="82">SUM(P68:W68)</f>
        <v>37851.599999999999</v>
      </c>
      <c r="Y68" s="49">
        <f t="shared" ref="Y68" si="83">G68-X68</f>
        <v>0</v>
      </c>
      <c r="Z68" s="3"/>
    </row>
    <row r="69" spans="1:26" ht="117.75" customHeight="1" x14ac:dyDescent="0.25">
      <c r="A69" s="8">
        <v>65</v>
      </c>
      <c r="B69" s="12" t="s">
        <v>1240</v>
      </c>
      <c r="C69" s="13">
        <v>45532</v>
      </c>
      <c r="D69" s="12" t="s">
        <v>42</v>
      </c>
      <c r="E69" s="4" t="s">
        <v>1241</v>
      </c>
      <c r="F69" s="53" t="s">
        <v>1242</v>
      </c>
      <c r="G69" s="10">
        <v>18736.84</v>
      </c>
      <c r="H69" s="10"/>
      <c r="I69" s="10"/>
      <c r="J69" s="10"/>
      <c r="K69" s="10"/>
      <c r="L69" s="10"/>
      <c r="M69" s="10"/>
      <c r="N69" s="10">
        <v>18736.84</v>
      </c>
      <c r="O69" s="10"/>
      <c r="P69" s="10"/>
      <c r="Q69" s="10"/>
      <c r="R69" s="10"/>
      <c r="S69" s="10"/>
      <c r="T69" s="10"/>
      <c r="U69" s="10"/>
      <c r="V69" s="54"/>
      <c r="W69" s="10"/>
      <c r="X69" s="10">
        <f t="shared" ref="X69" si="84">SUM(P69:W69)</f>
        <v>0</v>
      </c>
      <c r="Y69" s="49">
        <f t="shared" ref="Y69" si="85">G69-X69</f>
        <v>18736.84</v>
      </c>
      <c r="Z69" s="3"/>
    </row>
    <row r="70" spans="1:26" ht="132.75" customHeight="1" x14ac:dyDescent="0.25">
      <c r="A70" s="8">
        <v>66</v>
      </c>
      <c r="B70" s="12" t="s">
        <v>1259</v>
      </c>
      <c r="C70" s="13">
        <v>45538</v>
      </c>
      <c r="D70" s="12" t="s">
        <v>42</v>
      </c>
      <c r="E70" s="58" t="s">
        <v>832</v>
      </c>
      <c r="F70" s="53" t="s">
        <v>1260</v>
      </c>
      <c r="G70" s="10">
        <v>51264</v>
      </c>
      <c r="H70" s="10"/>
      <c r="I70" s="10"/>
      <c r="J70" s="10"/>
      <c r="K70" s="10"/>
      <c r="L70" s="10"/>
      <c r="M70" s="10"/>
      <c r="N70" s="10">
        <v>51264</v>
      </c>
      <c r="O70" s="10"/>
      <c r="P70" s="10"/>
      <c r="Q70" s="10"/>
      <c r="R70" s="10"/>
      <c r="S70" s="10"/>
      <c r="T70" s="10"/>
      <c r="U70" s="10"/>
      <c r="V70" s="54"/>
      <c r="W70" s="10"/>
      <c r="X70" s="10">
        <f t="shared" ref="X70" si="86">SUM(P70:W70)</f>
        <v>0</v>
      </c>
      <c r="Y70" s="49">
        <f t="shared" ref="Y70" si="87">G70-X70</f>
        <v>51264</v>
      </c>
      <c r="Z70" s="3"/>
    </row>
    <row r="71" spans="1:26" ht="118.5" customHeight="1" x14ac:dyDescent="0.25">
      <c r="A71" s="8">
        <v>67</v>
      </c>
      <c r="B71" s="12" t="s">
        <v>1359</v>
      </c>
      <c r="C71" s="13">
        <v>45559</v>
      </c>
      <c r="D71" s="12" t="s">
        <v>42</v>
      </c>
      <c r="E71" s="58" t="s">
        <v>1360</v>
      </c>
      <c r="F71" s="53" t="s">
        <v>1361</v>
      </c>
      <c r="G71" s="10">
        <v>6408</v>
      </c>
      <c r="H71" s="10">
        <v>6408</v>
      </c>
      <c r="I71" s="10"/>
      <c r="J71" s="10"/>
      <c r="K71" s="10"/>
      <c r="L71" s="10"/>
      <c r="M71" s="10"/>
      <c r="N71" s="10">
        <f>6408-6408</f>
        <v>0</v>
      </c>
      <c r="O71" s="10"/>
      <c r="P71" s="10">
        <v>6408</v>
      </c>
      <c r="Q71" s="10"/>
      <c r="R71" s="10"/>
      <c r="S71" s="10"/>
      <c r="T71" s="10"/>
      <c r="U71" s="10"/>
      <c r="V71" s="54"/>
      <c r="W71" s="10"/>
      <c r="X71" s="10">
        <f t="shared" ref="X71" si="88">SUM(P71:W71)</f>
        <v>6408</v>
      </c>
      <c r="Y71" s="49">
        <f t="shared" ref="Y71" si="89">G71-X71</f>
        <v>0</v>
      </c>
      <c r="Z71" s="3"/>
    </row>
    <row r="72" spans="1:26" ht="130.5" customHeight="1" x14ac:dyDescent="0.25">
      <c r="A72" s="8">
        <v>68</v>
      </c>
      <c r="B72" s="12" t="s">
        <v>1363</v>
      </c>
      <c r="C72" s="13">
        <v>45567</v>
      </c>
      <c r="D72" s="12" t="s">
        <v>42</v>
      </c>
      <c r="E72" s="58" t="s">
        <v>1364</v>
      </c>
      <c r="F72" s="53" t="s">
        <v>1365</v>
      </c>
      <c r="G72" s="10">
        <v>194133.96</v>
      </c>
      <c r="H72" s="10"/>
      <c r="I72" s="10"/>
      <c r="J72" s="10"/>
      <c r="K72" s="10"/>
      <c r="L72" s="10"/>
      <c r="M72" s="10"/>
      <c r="N72" s="10">
        <v>194133.96</v>
      </c>
      <c r="O72" s="10"/>
      <c r="P72" s="10"/>
      <c r="Q72" s="10"/>
      <c r="R72" s="10"/>
      <c r="S72" s="10"/>
      <c r="T72" s="10"/>
      <c r="U72" s="10"/>
      <c r="V72" s="54">
        <f>32161.41</f>
        <v>32161.41</v>
      </c>
      <c r="W72" s="10"/>
      <c r="X72" s="10">
        <f t="shared" ref="X72" si="90">SUM(P72:W72)</f>
        <v>32161.41</v>
      </c>
      <c r="Y72" s="49">
        <f t="shared" ref="Y72" si="91">G72-X72</f>
        <v>161972.54999999999</v>
      </c>
      <c r="Z72" s="3"/>
    </row>
    <row r="73" spans="1:26" ht="120.75" customHeight="1" x14ac:dyDescent="0.25">
      <c r="A73" s="8">
        <v>69</v>
      </c>
      <c r="B73" s="12" t="s">
        <v>1366</v>
      </c>
      <c r="C73" s="13">
        <v>45568</v>
      </c>
      <c r="D73" s="12" t="s">
        <v>42</v>
      </c>
      <c r="E73" s="4" t="s">
        <v>1241</v>
      </c>
      <c r="F73" s="53" t="s">
        <v>1367</v>
      </c>
      <c r="G73" s="10">
        <v>16863.16</v>
      </c>
      <c r="H73" s="10"/>
      <c r="I73" s="10"/>
      <c r="J73" s="10"/>
      <c r="K73" s="10"/>
      <c r="L73" s="10"/>
      <c r="M73" s="10"/>
      <c r="N73" s="10">
        <v>16863.16</v>
      </c>
      <c r="O73" s="10"/>
      <c r="P73" s="10"/>
      <c r="Q73" s="10"/>
      <c r="R73" s="10"/>
      <c r="S73" s="10"/>
      <c r="T73" s="10"/>
      <c r="U73" s="10"/>
      <c r="V73" s="54"/>
      <c r="W73" s="10"/>
      <c r="X73" s="10">
        <f t="shared" ref="X73" si="92">SUM(P73:W73)</f>
        <v>0</v>
      </c>
      <c r="Y73" s="49">
        <f t="shared" ref="Y73" si="93">G73-X73</f>
        <v>16863.16</v>
      </c>
      <c r="Z73" s="3"/>
    </row>
    <row r="74" spans="1:26" ht="118.5" customHeight="1" x14ac:dyDescent="0.25">
      <c r="A74" s="8">
        <v>70</v>
      </c>
      <c r="B74" s="12" t="s">
        <v>1372</v>
      </c>
      <c r="C74" s="13">
        <v>45579</v>
      </c>
      <c r="D74" s="12" t="s">
        <v>1373</v>
      </c>
      <c r="E74" s="58" t="s">
        <v>1360</v>
      </c>
      <c r="F74" s="53" t="s">
        <v>1374</v>
      </c>
      <c r="G74" s="10">
        <v>6408</v>
      </c>
      <c r="H74" s="10"/>
      <c r="I74" s="10"/>
      <c r="J74" s="10"/>
      <c r="K74" s="10"/>
      <c r="L74" s="10"/>
      <c r="M74" s="10"/>
      <c r="N74" s="10">
        <v>6408</v>
      </c>
      <c r="O74" s="10"/>
      <c r="P74" s="10"/>
      <c r="Q74" s="10"/>
      <c r="R74" s="10"/>
      <c r="S74" s="10"/>
      <c r="T74" s="10"/>
      <c r="U74" s="10"/>
      <c r="V74" s="54"/>
      <c r="W74" s="10"/>
      <c r="X74" s="10">
        <f t="shared" ref="X74" si="94">SUM(P74:W74)</f>
        <v>0</v>
      </c>
      <c r="Y74" s="49">
        <f t="shared" ref="Y74" si="95">G74-X74</f>
        <v>6408</v>
      </c>
      <c r="Z74" s="3"/>
    </row>
    <row r="75" spans="1:26" ht="130.5" customHeight="1" x14ac:dyDescent="0.25">
      <c r="A75" s="8">
        <v>71</v>
      </c>
      <c r="B75" s="12" t="s">
        <v>1428</v>
      </c>
      <c r="C75" s="13">
        <v>45579</v>
      </c>
      <c r="D75" s="12" t="s">
        <v>42</v>
      </c>
      <c r="E75" s="58" t="s">
        <v>1430</v>
      </c>
      <c r="F75" s="53" t="s">
        <v>1429</v>
      </c>
      <c r="G75" s="10">
        <f>3241.22-258.02</f>
        <v>2983.2</v>
      </c>
      <c r="H75" s="10"/>
      <c r="I75" s="10"/>
      <c r="J75" s="10"/>
      <c r="K75" s="10"/>
      <c r="L75" s="10"/>
      <c r="M75" s="10"/>
      <c r="N75" s="10">
        <v>2983.2</v>
      </c>
      <c r="O75" s="10"/>
      <c r="P75" s="10"/>
      <c r="Q75" s="10"/>
      <c r="R75" s="10"/>
      <c r="S75" s="10"/>
      <c r="T75" s="10"/>
      <c r="U75" s="10"/>
      <c r="V75" s="54"/>
      <c r="W75" s="10"/>
      <c r="X75" s="10">
        <f t="shared" ref="X75" si="96">SUM(P75:W75)</f>
        <v>0</v>
      </c>
      <c r="Y75" s="49">
        <f t="shared" ref="Y75" si="97">G75-X75</f>
        <v>2983.2</v>
      </c>
      <c r="Z75" s="3"/>
    </row>
    <row r="76" spans="1:26" ht="16.5" customHeight="1" x14ac:dyDescent="0.25">
      <c r="A76" s="8"/>
      <c r="B76" s="12"/>
      <c r="C76" s="25"/>
      <c r="D76" s="13"/>
      <c r="E76" s="4"/>
      <c r="F76" s="6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3"/>
    </row>
    <row r="77" spans="1:26" ht="15.75" x14ac:dyDescent="0.25">
      <c r="A77" s="8"/>
      <c r="B77" s="12"/>
      <c r="C77" s="13"/>
      <c r="D77" s="12"/>
      <c r="E77" s="4"/>
      <c r="F77" s="2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>
        <f t="shared" si="0"/>
        <v>0</v>
      </c>
      <c r="Y77" s="10">
        <f t="shared" si="1"/>
        <v>0</v>
      </c>
      <c r="Z77" s="3"/>
    </row>
    <row r="78" spans="1:26" ht="15.75" customHeight="1" x14ac:dyDescent="0.25">
      <c r="A78" s="62" t="s">
        <v>28</v>
      </c>
      <c r="B78" s="62"/>
      <c r="C78" s="62"/>
      <c r="D78" s="62"/>
      <c r="E78" s="62"/>
      <c r="F78" s="62"/>
      <c r="G78" s="16">
        <f>SUM(G5:G77)</f>
        <v>16206506.460000001</v>
      </c>
      <c r="H78" s="16">
        <f t="shared" ref="H78:Y78" si="98">SUM(H5:H77)</f>
        <v>14238</v>
      </c>
      <c r="I78" s="16">
        <f t="shared" si="98"/>
        <v>0</v>
      </c>
      <c r="J78" s="16">
        <f t="shared" si="98"/>
        <v>0</v>
      </c>
      <c r="K78" s="16">
        <f t="shared" si="98"/>
        <v>0</v>
      </c>
      <c r="L78" s="16">
        <f t="shared" si="98"/>
        <v>0</v>
      </c>
      <c r="M78" s="16">
        <f t="shared" si="98"/>
        <v>18616.260000000002</v>
      </c>
      <c r="N78" s="16">
        <f t="shared" si="98"/>
        <v>16150056.450000003</v>
      </c>
      <c r="O78" s="16">
        <f t="shared" si="98"/>
        <v>23595.75</v>
      </c>
      <c r="P78" s="16">
        <f t="shared" si="98"/>
        <v>32854.26</v>
      </c>
      <c r="Q78" s="16">
        <f t="shared" si="98"/>
        <v>0</v>
      </c>
      <c r="R78" s="16">
        <f t="shared" si="98"/>
        <v>0</v>
      </c>
      <c r="S78" s="16">
        <f t="shared" si="98"/>
        <v>0</v>
      </c>
      <c r="T78" s="16">
        <f t="shared" si="98"/>
        <v>0</v>
      </c>
      <c r="U78" s="16">
        <f t="shared" si="98"/>
        <v>0</v>
      </c>
      <c r="V78" s="16">
        <f t="shared" si="98"/>
        <v>13261502.419999998</v>
      </c>
      <c r="W78" s="16">
        <f t="shared" si="98"/>
        <v>23595.75</v>
      </c>
      <c r="X78" s="16">
        <f t="shared" si="98"/>
        <v>13317952.429999998</v>
      </c>
      <c r="Y78" s="16">
        <f t="shared" si="98"/>
        <v>2888554.0300000007</v>
      </c>
      <c r="Z78" s="3"/>
    </row>
    <row r="79" spans="1:26" x14ac:dyDescent="0.25">
      <c r="Z79" s="3"/>
    </row>
    <row r="80" spans="1:26" x14ac:dyDescent="0.25">
      <c r="V80" s="1">
        <f>V5+V6+V16+V17+V19+V20+V21+V22+V23+V24+V25+V26+V28+V29+V30+V33+V35+V36+V37+V38+V39+V40+V45+V53+V54</f>
        <v>5278701.93</v>
      </c>
      <c r="Z80" s="3"/>
    </row>
    <row r="81" spans="7:26" x14ac:dyDescent="0.25">
      <c r="G81" s="1"/>
      <c r="H81" s="1"/>
      <c r="I81" s="1"/>
      <c r="J81" s="1"/>
      <c r="K81" s="1"/>
      <c r="V81">
        <v>5278701.93</v>
      </c>
      <c r="Z81" s="3"/>
    </row>
    <row r="83" spans="7:26" x14ac:dyDescent="0.25">
      <c r="V83" s="1">
        <f>V7+V8+V9+V10+V11+V12+V13+V14+V15+V27+V31+V32+V41+V43+V44+V47+V48+V49+V50+V51</f>
        <v>4079931.24</v>
      </c>
    </row>
    <row r="84" spans="7:26" x14ac:dyDescent="0.25">
      <c r="V84">
        <v>2390090.09</v>
      </c>
    </row>
  </sheetData>
  <mergeCells count="29">
    <mergeCell ref="A4:Y4"/>
    <mergeCell ref="A78:F78"/>
    <mergeCell ref="S2:S3"/>
    <mergeCell ref="T2:T3"/>
    <mergeCell ref="U2:U3"/>
    <mergeCell ref="V2:V3"/>
    <mergeCell ref="W2:W3"/>
    <mergeCell ref="M2:M3"/>
    <mergeCell ref="N2:N3"/>
    <mergeCell ref="O2:O3"/>
    <mergeCell ref="P2:P3"/>
    <mergeCell ref="Q2:Q3"/>
    <mergeCell ref="R2:R3"/>
    <mergeCell ref="G1:G3"/>
    <mergeCell ref="H1:O1"/>
    <mergeCell ref="P1:W1"/>
    <mergeCell ref="X1:X3"/>
    <mergeCell ref="Y1:Y3"/>
    <mergeCell ref="H2:H3"/>
    <mergeCell ref="I2:I3"/>
    <mergeCell ref="J2:J3"/>
    <mergeCell ref="K2:K3"/>
    <mergeCell ref="L2:L3"/>
    <mergeCell ref="F1:F3"/>
    <mergeCell ref="A1:A3"/>
    <mergeCell ref="B1:B3"/>
    <mergeCell ref="C1:C3"/>
    <mergeCell ref="D1:D3"/>
    <mergeCell ref="E1:E3"/>
  </mergeCells>
  <pageMargins left="0.19685039370078741" right="0.19685039370078741" top="0.19685039370078741" bottom="0.19685039370078741" header="0.31496062992125984" footer="0.31496062992125984"/>
  <pageSetup paperSize="9" scale="43" fitToHeight="0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2210</vt:lpstr>
      <vt:lpstr>2220</vt:lpstr>
      <vt:lpstr>2230</vt:lpstr>
      <vt:lpstr>2240</vt:lpstr>
      <vt:lpstr>2271</vt:lpstr>
      <vt:lpstr>2272</vt:lpstr>
      <vt:lpstr>2273</vt:lpstr>
      <vt:lpstr>2282</vt:lpstr>
      <vt:lpstr>3210</vt:lpstr>
      <vt:lpstr>СФ2610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2024-11-12T08:49:22Z</dcterms:modified>
</cp:coreProperties>
</file>