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645" windowWidth="14805" windowHeight="7470" tabRatio="841" activeTab="3"/>
  </bookViews>
  <sheets>
    <sheet name="звіт  І півріччя" sheetId="2" r:id="rId1"/>
    <sheet name="звітІ-ІІ-111кв 2022" sheetId="1" r:id="rId2"/>
    <sheet name="9 місяців 2021" sheetId="3" r:id="rId3"/>
    <sheet name="рік" sheetId="4" r:id="rId4"/>
  </sheets>
  <definedNames>
    <definedName name="_xlnm.Print_Area" localSheetId="0">'звіт  І півріччя'!$A$1:$L$62</definedName>
    <definedName name="_xlnm.Print_Area" localSheetId="1">'звітІ-ІІ-111кв 2022'!$A$1:$H$62</definedName>
  </definedNames>
  <calcPr calcId="145621"/>
</workbook>
</file>

<file path=xl/calcChain.xml><?xml version="1.0" encoding="utf-8"?>
<calcChain xmlns="http://schemas.openxmlformats.org/spreadsheetml/2006/main">
  <c r="L49" i="2"/>
  <c r="H59"/>
  <c r="H57"/>
  <c r="H62"/>
  <c r="J62"/>
  <c r="K62"/>
  <c r="I61"/>
  <c r="L59"/>
  <c r="L62" s="1"/>
  <c r="L57"/>
  <c r="I49"/>
  <c r="L58"/>
  <c r="L31"/>
  <c r="L18"/>
  <c r="L20"/>
  <c r="I20" s="1"/>
  <c r="L23"/>
  <c r="L27"/>
  <c r="I19"/>
  <c r="I21"/>
  <c r="I22"/>
  <c r="I29"/>
  <c r="L12"/>
  <c r="I10"/>
  <c r="I11"/>
  <c r="I5"/>
  <c r="I6"/>
  <c r="K59"/>
  <c r="J59"/>
  <c r="I59"/>
  <c r="I62" s="1"/>
  <c r="G59"/>
  <c r="K58"/>
  <c r="J58"/>
  <c r="I58"/>
  <c r="H58"/>
  <c r="G58"/>
  <c r="K57"/>
  <c r="J57"/>
  <c r="I57"/>
  <c r="G57"/>
  <c r="H49"/>
  <c r="K32"/>
  <c r="J32"/>
  <c r="G32"/>
  <c r="K31"/>
  <c r="J31"/>
  <c r="G31"/>
  <c r="K30"/>
  <c r="J30"/>
  <c r="G30"/>
  <c r="H28"/>
  <c r="I28" s="1"/>
  <c r="H27"/>
  <c r="H26"/>
  <c r="I26" s="1"/>
  <c r="H25"/>
  <c r="I25" s="1"/>
  <c r="H24"/>
  <c r="H31" s="1"/>
  <c r="H23"/>
  <c r="I23" s="1"/>
  <c r="L32"/>
  <c r="H20"/>
  <c r="H18"/>
  <c r="H32" s="1"/>
  <c r="K15"/>
  <c r="J15"/>
  <c r="G15"/>
  <c r="L14"/>
  <c r="K14"/>
  <c r="J14"/>
  <c r="I14"/>
  <c r="H14"/>
  <c r="G14"/>
  <c r="K13"/>
  <c r="J13"/>
  <c r="G13"/>
  <c r="H12"/>
  <c r="I12" s="1"/>
  <c r="H9"/>
  <c r="I9" s="1"/>
  <c r="H8"/>
  <c r="I8" s="1"/>
  <c r="L15"/>
  <c r="H7"/>
  <c r="H15" s="1"/>
  <c r="M62" l="1"/>
  <c r="I60"/>
  <c r="J61"/>
  <c r="G62"/>
  <c r="I24"/>
  <c r="I27"/>
  <c r="G61"/>
  <c r="G60" s="1"/>
  <c r="K61"/>
  <c r="I7"/>
  <c r="I18"/>
  <c r="I32" s="1"/>
  <c r="I31"/>
  <c r="I13"/>
  <c r="I15"/>
  <c r="N62"/>
  <c r="H61"/>
  <c r="L61"/>
  <c r="H13"/>
  <c r="L13"/>
  <c r="H30"/>
  <c r="L30"/>
  <c r="H12" i="1"/>
  <c r="H60" i="2" l="1"/>
  <c r="I30"/>
  <c r="K60"/>
  <c r="J60"/>
  <c r="L60"/>
  <c r="H49" i="1"/>
  <c r="H59" s="1"/>
  <c r="H24"/>
  <c r="H23"/>
  <c r="H28"/>
  <c r="H20"/>
  <c r="H18"/>
  <c r="H7"/>
  <c r="I60"/>
  <c r="J60"/>
  <c r="K60"/>
  <c r="H27"/>
  <c r="H25"/>
  <c r="H26"/>
  <c r="H31" s="1"/>
  <c r="H8"/>
  <c r="H9"/>
  <c r="I59"/>
  <c r="J59"/>
  <c r="K59"/>
  <c r="H58"/>
  <c r="I58"/>
  <c r="J58"/>
  <c r="K58"/>
  <c r="G32"/>
  <c r="G59"/>
  <c r="G57"/>
  <c r="G58"/>
  <c r="I31"/>
  <c r="J31"/>
  <c r="K31"/>
  <c r="G31"/>
  <c r="H5" i="4" l="1"/>
  <c r="H9" l="1"/>
  <c r="H12"/>
  <c r="L7" i="1" l="1"/>
  <c r="L8"/>
  <c r="L9"/>
  <c r="L10"/>
  <c r="L11"/>
  <c r="L12"/>
  <c r="H42" i="4"/>
  <c r="H18"/>
  <c r="H20"/>
  <c r="H27"/>
  <c r="H23"/>
  <c r="H51"/>
  <c r="G51"/>
  <c r="G56" s="1"/>
  <c r="H50"/>
  <c r="G50"/>
  <c r="G55" s="1"/>
  <c r="H49"/>
  <c r="G49"/>
  <c r="H33"/>
  <c r="G33"/>
  <c r="H32"/>
  <c r="G32"/>
  <c r="H31"/>
  <c r="G31"/>
  <c r="G52" s="1"/>
  <c r="H15"/>
  <c r="G15"/>
  <c r="H14"/>
  <c r="G14"/>
  <c r="H13"/>
  <c r="G13"/>
  <c r="H52" l="1"/>
  <c r="H56"/>
  <c r="H55"/>
  <c r="M58" i="1"/>
  <c r="M40"/>
  <c r="M59" s="1"/>
  <c r="M27"/>
  <c r="M26"/>
  <c r="M20"/>
  <c r="M25"/>
  <c r="M24"/>
  <c r="M18"/>
  <c r="M32" s="1"/>
  <c r="M12"/>
  <c r="L14"/>
  <c r="M14"/>
  <c r="M11"/>
  <c r="M10"/>
  <c r="M9"/>
  <c r="M8"/>
  <c r="M7"/>
  <c r="M13" s="1"/>
  <c r="H51" i="3"/>
  <c r="G51"/>
  <c r="H50"/>
  <c r="G50"/>
  <c r="H49"/>
  <c r="G49"/>
  <c r="H33"/>
  <c r="G33"/>
  <c r="H32"/>
  <c r="G32"/>
  <c r="H31"/>
  <c r="H52" s="1"/>
  <c r="G31"/>
  <c r="G52" s="1"/>
  <c r="H15"/>
  <c r="G15"/>
  <c r="H14"/>
  <c r="G14"/>
  <c r="H13"/>
  <c r="G13"/>
  <c r="M62" i="1" l="1"/>
  <c r="G55" i="3"/>
  <c r="G56"/>
  <c r="M57" i="1"/>
  <c r="M31"/>
  <c r="M61" s="1"/>
  <c r="M60" s="1"/>
  <c r="H55" i="3"/>
  <c r="H56"/>
  <c r="M15" i="1"/>
  <c r="M30"/>
  <c r="L27"/>
  <c r="K32"/>
  <c r="K30"/>
  <c r="L58"/>
  <c r="L40"/>
  <c r="L57" s="1"/>
  <c r="L23"/>
  <c r="L25"/>
  <c r="L20"/>
  <c r="L32" l="1"/>
  <c r="L59"/>
  <c r="K15"/>
  <c r="K13"/>
  <c r="L26"/>
  <c r="L24"/>
  <c r="L19"/>
  <c r="L30" l="1"/>
  <c r="L31"/>
  <c r="L61" s="1"/>
  <c r="L62"/>
  <c r="L15"/>
  <c r="L13"/>
  <c r="K57" l="1"/>
  <c r="K62"/>
  <c r="L60"/>
  <c r="J57"/>
  <c r="J32"/>
  <c r="J62" s="1"/>
  <c r="H57"/>
  <c r="I57"/>
  <c r="G30"/>
  <c r="J30" l="1"/>
  <c r="H30"/>
  <c r="I30"/>
  <c r="J61"/>
  <c r="K61"/>
  <c r="H32"/>
  <c r="H62" s="1"/>
  <c r="H60" s="1"/>
  <c r="I32"/>
  <c r="H61"/>
  <c r="I61"/>
  <c r="H14"/>
  <c r="I14"/>
  <c r="J14"/>
  <c r="K14"/>
  <c r="G15"/>
  <c r="G14"/>
  <c r="G13"/>
  <c r="I13" l="1"/>
  <c r="I15"/>
  <c r="J15"/>
  <c r="J13"/>
  <c r="G62"/>
  <c r="G60" s="1"/>
  <c r="G61"/>
  <c r="I62"/>
  <c r="N62" s="1"/>
  <c r="H15"/>
  <c r="H13"/>
</calcChain>
</file>

<file path=xl/sharedStrings.xml><?xml version="1.0" encoding="utf-8"?>
<sst xmlns="http://schemas.openxmlformats.org/spreadsheetml/2006/main" count="483" uniqueCount="104">
  <si>
    <t>№ з/п</t>
  </si>
  <si>
    <t>Назва напрямку діяльності (пріоритетні завдання)</t>
  </si>
  <si>
    <t>Перелік заходів програми</t>
  </si>
  <si>
    <t>Строк виконання заходу</t>
  </si>
  <si>
    <t>Джерела</t>
  </si>
  <si>
    <t>фінансування</t>
  </si>
  <si>
    <t>Орієнтовні обсяги фінансування (вартість), тис. гривень, у тому числі:</t>
  </si>
  <si>
    <t>рік</t>
  </si>
  <si>
    <t>ДОХОДИ ПІДПРИЄМСТВА, у тому числі:</t>
  </si>
  <si>
    <t>1.</t>
  </si>
  <si>
    <t>Надходження коштів міського бюджету</t>
  </si>
  <si>
    <t xml:space="preserve">Фінансування за рахунок коштів місцевого бюджету </t>
  </si>
  <si>
    <t>Міський бюджет</t>
  </si>
  <si>
    <t>2.</t>
  </si>
  <si>
    <t>Надходження коштів по обслуговуванню населення на первинному рівні</t>
  </si>
  <si>
    <t xml:space="preserve">Оплата медичних послуг за Програмою державних гарантій медичного обслуговування населення </t>
  </si>
  <si>
    <t>Власні кошти</t>
  </si>
  <si>
    <t>3.</t>
  </si>
  <si>
    <t>Медичні послуги за договорами зі страховими компаніями</t>
  </si>
  <si>
    <t>Надання послуг відповідно до договорів зі страховими компаніями</t>
  </si>
  <si>
    <t>Страхові компанії</t>
  </si>
  <si>
    <t>4.</t>
  </si>
  <si>
    <t>Медичні послуги за договорами з юридичними особами</t>
  </si>
  <si>
    <t>Надання послуг відповідно договорів  з іншими юридичними особами</t>
  </si>
  <si>
    <t>Юридичні особи</t>
  </si>
  <si>
    <t>5.</t>
  </si>
  <si>
    <t>Проведення періодичних та передрейсових медичних оглядів</t>
  </si>
  <si>
    <t>Проведення періодичних та передрейсових медичних оглядів працівникам підприємств м. Кременчук</t>
  </si>
  <si>
    <t>Фізичні та юридичні особи</t>
  </si>
  <si>
    <t>6.</t>
  </si>
  <si>
    <t>Медичні послуги фізичним особам</t>
  </si>
  <si>
    <t>Розширення видів надання послуг за самостійними зверненнями громадян</t>
  </si>
  <si>
    <t>Фізичні особи</t>
  </si>
  <si>
    <t>7.</t>
  </si>
  <si>
    <t>Надання орендних послуг</t>
  </si>
  <si>
    <t>Здача приміщень та обладнання в оренду</t>
  </si>
  <si>
    <t>8.</t>
  </si>
  <si>
    <t>Надання інших послуг підприємством</t>
  </si>
  <si>
    <t>Організація паркування транспорту, діяльність санаторно-курортних закладів, роздрібна торгівля  фармацевтичними, медичними та згідно з угодами, надання допомоги хворим  вдома, інші види діяльності згідно Статуту КМП «Лікарня Придніпровська»</t>
  </si>
  <si>
    <t>Інші джерела фінансування</t>
  </si>
  <si>
    <t>Всього доходів</t>
  </si>
  <si>
    <t>у тому числі:</t>
  </si>
  <si>
    <t>Власні кошти підприємства</t>
  </si>
  <si>
    <t>ПОТОЧНІ ВИДАТКИ ПІДПРИЄМСТВА,  у тому числі</t>
  </si>
  <si>
    <t xml:space="preserve"> 1.</t>
  </si>
  <si>
    <t>Поточні видатки, у тому числі:</t>
  </si>
  <si>
    <t>Придбання предметів, матеріалів, обладнання та інвентарю</t>
  </si>
  <si>
    <t>Придбання медикаментів та перев’язувальних матеріалів</t>
  </si>
  <si>
    <t>Продукти харчування</t>
  </si>
  <si>
    <t>Оплата послуг (крім комунальних):</t>
  </si>
  <si>
    <t>Оплата комунальних послуг та енергоносіїв</t>
  </si>
  <si>
    <t>Видатки на оплату праці з нарахуваннями</t>
  </si>
  <si>
    <t>Оплата післядипломної підготовки (перепідготовки) кадрів, видатки на відрядження</t>
  </si>
  <si>
    <t>Сплата податків, зборів, обов’язкових платежів, штрафів, пені тощо</t>
  </si>
  <si>
    <t>Всього поточні видатки</t>
  </si>
  <si>
    <t>у тому числі</t>
  </si>
  <si>
    <t>Капітальні видатки</t>
  </si>
  <si>
    <t xml:space="preserve">Реконструкція  патологоанатомічного відділення КМП «Лкарня Придніпровська» , розташованого в патологоанатомічному корпусі за адресою: вулиця лікаря О.Богаєвського, буд.60/1(площа 314.6 кв.м.)                       </t>
  </si>
  <si>
    <t>Придбання комп’ютерної техніки та програмного забезпечення</t>
  </si>
  <si>
    <t xml:space="preserve">Проектування та встановлення автоматичної пожежної сигналізації та мовного оповіщення </t>
  </si>
  <si>
    <r>
      <t>Придбання предметів довгострокового використання  за програмою профілактики ВІЛ по спеціалізованому кабінету «Довіра» (</t>
    </r>
    <r>
      <rPr>
        <sz val="10"/>
        <color theme="1"/>
        <rFont val="Times New Roman"/>
        <family val="1"/>
        <charset val="204"/>
      </rPr>
      <t>2019</t>
    </r>
    <r>
      <rPr>
        <sz val="12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система для прибирання</t>
    </r>
    <r>
      <rPr>
        <sz val="12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кондиціонер з біофільтрацією</t>
    </r>
    <r>
      <rPr>
        <sz val="12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шафа для зберігання ліків, стіл маніпуляційний, центрифуга лабораторна, комп’ютер з принтером, термоконтейнер медичний;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2020 </t>
    </r>
    <r>
      <rPr>
        <sz val="12"/>
        <color theme="1"/>
        <rFont val="Times New Roman"/>
        <family val="1"/>
        <charset val="204"/>
      </rPr>
      <t xml:space="preserve">- </t>
    </r>
    <r>
      <rPr>
        <sz val="10"/>
        <color theme="1"/>
        <rFont val="Times New Roman"/>
        <family val="1"/>
        <charset val="204"/>
      </rPr>
      <t>кондиціонер з біофільтрацією, стіл маніпуляційний, комп’ютер з принтером; 2021 - кондиціонер з біофільтрацією</t>
    </r>
    <r>
      <rPr>
        <sz val="12"/>
        <color theme="1"/>
        <rFont val="Times New Roman"/>
        <family val="1"/>
        <charset val="204"/>
      </rPr>
      <t>)</t>
    </r>
  </si>
  <si>
    <t>Придбання предметів довгострокового використання  за програмою запобігання та лікування остеопорозу та його ускладнень «Легка хода» для дооблаштування хірургічного відділення (2019 - апарат ультразвукової діагностики з набором датчиків, рентгенівській апарат палатний, апарат штучної вентиляції легенів; апарат  «С-арм», інструменти довготривалого використання),апарат ударно-волнової терапії.</t>
  </si>
  <si>
    <t>Капітальний ремонт хірургічного відділення з дооснащенням медичним та іншим обладнанням (площа  317,64 кв.м.)</t>
  </si>
  <si>
    <t>Капітальний ремонт амбулаторно-поліклінічного відділення з переоблаштуванням покрівлі  (площа 1543,7 кв.м.)</t>
  </si>
  <si>
    <r>
      <t>Придбання предметів довгострокового використання для лікування хворих на катаракту (2020 - автоматичний рефрактометр /кератометр, ультразвуковий А-скан, лампа щілинна</t>
    </r>
    <r>
      <rPr>
        <sz val="11"/>
        <color rgb="FF000000"/>
        <rFont val="Times New Roman"/>
        <family val="1"/>
        <charset val="204"/>
      </rPr>
      <t>,</t>
    </r>
    <r>
      <rPr>
        <sz val="12"/>
        <color rgb="FF000000"/>
        <rFont val="Times New Roman"/>
        <family val="1"/>
        <charset val="204"/>
      </rPr>
      <t xml:space="preserve"> автоклав офтальмологічний, 2021 - </t>
    </r>
    <r>
      <rPr>
        <sz val="11"/>
        <color rgb="FF000000"/>
        <rFont val="Times New Roman"/>
        <family val="1"/>
        <charset val="204"/>
      </rPr>
      <t>мікроскоп операційний</t>
    </r>
    <r>
      <rPr>
        <sz val="12"/>
        <color rgb="FF000000"/>
        <rFont val="Times New Roman"/>
        <family val="1"/>
        <charset val="204"/>
      </rPr>
      <t>)</t>
    </r>
  </si>
  <si>
    <t>Придбання інструментів довготривалого використання</t>
  </si>
  <si>
    <t>Всього капітальні видатки</t>
  </si>
  <si>
    <t>Всього видатки</t>
  </si>
  <si>
    <t>І кв</t>
  </si>
  <si>
    <t>ІІ кв</t>
  </si>
  <si>
    <t>ІІІкв</t>
  </si>
  <si>
    <t>IV кв</t>
  </si>
  <si>
    <t>Міський</t>
  </si>
  <si>
    <r>
      <t xml:space="preserve">Придбання обладнання для патологоанатомічного відділення (2019 - стіл лабораторний анатомічний RD-3456, апарат гістологічної обробки тканин, станція заливки парафіном. мікротом ротаційний, робоча станція патолога,  архіватори патологогістологічного  матеріалу, холодильна камера, лампа хірургічна стельова, стіл секційний </t>
    </r>
    <r>
      <rPr>
        <b/>
        <sz val="8"/>
        <color rgb="FF000000"/>
        <rFont val="Times New Roman"/>
        <family val="1"/>
        <charset val="204"/>
      </rPr>
      <t xml:space="preserve">RD-A02, </t>
    </r>
    <r>
      <rPr>
        <b/>
        <sz val="8"/>
        <color theme="1"/>
        <rFont val="Times New Roman"/>
        <family val="1"/>
        <charset val="204"/>
      </rPr>
      <t xml:space="preserve">мийка анатомічно-лабораторна RD-1525, стіл для автопсій пересувний </t>
    </r>
    <r>
      <rPr>
        <b/>
        <sz val="8"/>
        <color rgb="FF000000"/>
        <rFont val="Times New Roman"/>
        <family val="1"/>
        <charset val="204"/>
      </rPr>
      <t xml:space="preserve">RD-SQ2, </t>
    </r>
    <r>
      <rPr>
        <b/>
        <sz val="8"/>
        <color theme="1"/>
        <rFont val="Times New Roman"/>
        <family val="1"/>
        <charset val="204"/>
      </rPr>
      <t xml:space="preserve">шафа для високотоксичних реактивів RD-G2424, шафа для зберігання біопсійного матеріалу RD-G1836, водяна баня, шафа витяжна «Віола»; 2020 - мікротом ротаційний, архіватори патологогістологічного  матеріалу, муфельна піч, лампа хірургічна стельова, стіл секційний </t>
    </r>
    <r>
      <rPr>
        <b/>
        <sz val="8"/>
        <color rgb="FF000000"/>
        <rFont val="Times New Roman"/>
        <family val="1"/>
        <charset val="204"/>
      </rPr>
      <t xml:space="preserve">RD-A02, </t>
    </r>
    <r>
      <rPr>
        <b/>
        <sz val="8"/>
        <color theme="1"/>
        <rFont val="Times New Roman"/>
        <family val="1"/>
        <charset val="204"/>
      </rPr>
      <t xml:space="preserve">стіл для автопсій пересувний </t>
    </r>
    <r>
      <rPr>
        <b/>
        <sz val="8"/>
        <color rgb="FF000000"/>
        <rFont val="Times New Roman"/>
        <family val="1"/>
        <charset val="204"/>
      </rPr>
      <t xml:space="preserve">RD-SQ2, </t>
    </r>
    <r>
      <rPr>
        <b/>
        <sz val="8"/>
        <color theme="1"/>
        <rFont val="Times New Roman"/>
        <family val="1"/>
        <charset val="204"/>
      </rPr>
      <t>водяна баня; 2021 - кондиціонер з бакочисткою)</t>
    </r>
  </si>
  <si>
    <t>9 місяців</t>
  </si>
  <si>
    <t>план</t>
  </si>
  <si>
    <t>факт</t>
  </si>
  <si>
    <t>2021р.</t>
  </si>
  <si>
    <t>Надходження коштів по обслуговуванню населення від НСЗУ</t>
  </si>
  <si>
    <t>Здача приміщень та обладнання в оренду( оренда, відшкодування)</t>
  </si>
  <si>
    <t>Бюджетні кошти</t>
  </si>
  <si>
    <t>Облаштування пожежної сигналізації  в стаціонарі лікарні</t>
  </si>
  <si>
    <t>Проектування та монтаж аварійної системи енергозабезпечення</t>
  </si>
  <si>
    <t>Облаштування даху лікарні з ремонтом вентиляційних ходів(площа 727,9 кв м)</t>
  </si>
  <si>
    <t>Придбання комп’ютерної техніки та програмного забезпечення (16 шт -2022рік)</t>
  </si>
  <si>
    <t>Заміна кабіни ліфта</t>
  </si>
  <si>
    <r>
      <t xml:space="preserve">Придбання предметів довгострокового використання  за програмою профілактики ВІЛ по спеціалізованому кабінету «Довіра» </t>
    </r>
    <r>
      <rPr>
        <sz val="8"/>
        <color theme="1"/>
        <rFont val="Times New Roman"/>
        <family val="1"/>
        <charset val="204"/>
      </rPr>
      <t>(система для прибирання, кондиціонер з біофільтрацією, стіл маніпуляційний,  комп’ютер з принтером, термоконтейнер медичний)</t>
    </r>
  </si>
  <si>
    <t>Капітальний ремонт терапевтичного відділення з оснащенням медичним та іншим обладнанням (площа 534,9 кв.м.)</t>
  </si>
  <si>
    <t>Придбання предметів, приборів та інструментарію довгострокового використання для хірургічного відділення</t>
  </si>
  <si>
    <t>Ремонт лабораторії, рентгенологічного кабінету, кабінетів амбулаторно-поліклінічного відділення</t>
  </si>
  <si>
    <t>Придбання постільної білизни.</t>
  </si>
  <si>
    <t>Ремонт системи опалення</t>
  </si>
  <si>
    <t>Ремонт системи водопостачання та водовідведення</t>
  </si>
  <si>
    <t>Ремонт системи електроживлення</t>
  </si>
  <si>
    <t>Ремонт автомобільного транспорту</t>
  </si>
  <si>
    <r>
      <t xml:space="preserve">Придбання предметів довгострокового використання для забезпечення робіт по програмам міста (ОМВК) </t>
    </r>
    <r>
      <rPr>
        <sz val="8"/>
        <color theme="1"/>
        <rFont val="Times New Roman"/>
        <family val="1"/>
        <charset val="204"/>
      </rPr>
      <t>(система для прибирання, комп’ютерний комплекс, багатофункціональний копіювальний пристрій, ростомір підлоговий, стіл для стерилізатора медичний, диспенсери)</t>
    </r>
  </si>
  <si>
    <r>
      <t>Забезпечення протипожежних заходів в стаціонарі лікарні</t>
    </r>
    <r>
      <rPr>
        <sz val="8"/>
        <color theme="1"/>
        <rFont val="Times New Roman"/>
        <family val="1"/>
        <charset val="204"/>
      </rPr>
      <t>:-        облаштування протипожежних дверей;-        облаштування протипожежних кранів та ремонт протипожежного водогону;-        забезпечення засобами індивідуального захисту органів дихання</t>
    </r>
  </si>
  <si>
    <r>
      <t xml:space="preserve">Забезпечення протипожежних заходів в консультаційно </t>
    </r>
    <r>
      <rPr>
        <sz val="8"/>
        <color theme="1"/>
        <rFont val="Times New Roman"/>
        <family val="1"/>
        <charset val="204"/>
      </rPr>
      <t>- діагностичному центрі лікарні:-        облаштування протипожежних дверей;-        облаштування протипожежних кранів та ремонт протипожежного водогону;</t>
    </r>
  </si>
  <si>
    <t>Дизельний генератор</t>
  </si>
  <si>
    <t>предмети й матеріали 18,3 + медикам389,1</t>
  </si>
  <si>
    <t>18,3 централ предм та матер</t>
  </si>
  <si>
    <t>389,1 центр медикам</t>
  </si>
  <si>
    <t>3,0 навчання</t>
  </si>
  <si>
    <t>півріччя</t>
  </si>
</sst>
</file>

<file path=xl/styles.xml><?xml version="1.0" encoding="utf-8"?>
<styleSheet xmlns="http://schemas.openxmlformats.org/spreadsheetml/2006/main">
  <numFmts count="3">
    <numFmt numFmtId="164" formatCode="#,##0&quot;р.&quot;;[Red]\-#,##0&quot;р.&quot;"/>
    <numFmt numFmtId="165" formatCode="0.0"/>
    <numFmt numFmtId="166" formatCode="#,##0.0"/>
  </numFmts>
  <fonts count="19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2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" fillId="0" borderId="1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9" xfId="0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top" wrapText="1"/>
    </xf>
    <xf numFmtId="165" fontId="11" fillId="0" borderId="9" xfId="0" applyNumberFormat="1" applyFont="1" applyBorder="1" applyAlignment="1">
      <alignment horizontal="center" wrapText="1"/>
    </xf>
    <xf numFmtId="165" fontId="0" fillId="0" borderId="0" xfId="0" applyNumberFormat="1"/>
    <xf numFmtId="165" fontId="6" fillId="0" borderId="9" xfId="0" applyNumberFormat="1" applyFont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top" wrapText="1"/>
    </xf>
    <xf numFmtId="165" fontId="7" fillId="0" borderId="9" xfId="0" applyNumberFormat="1" applyFont="1" applyBorder="1" applyAlignment="1">
      <alignment horizontal="center" wrapText="1"/>
    </xf>
    <xf numFmtId="165" fontId="6" fillId="0" borderId="9" xfId="0" applyNumberFormat="1" applyFont="1" applyBorder="1" applyAlignment="1">
      <alignment horizontal="right" wrapText="1"/>
    </xf>
    <xf numFmtId="165" fontId="11" fillId="0" borderId="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vertical="top" wrapText="1"/>
    </xf>
    <xf numFmtId="165" fontId="7" fillId="0" borderId="7" xfId="0" applyNumberFormat="1" applyFont="1" applyBorder="1" applyAlignment="1">
      <alignment horizontal="center" wrapText="1"/>
    </xf>
    <xf numFmtId="166" fontId="7" fillId="0" borderId="7" xfId="0" applyNumberFormat="1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wrapText="1"/>
    </xf>
    <xf numFmtId="164" fontId="1" fillId="0" borderId="9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horizontal="center" wrapText="1"/>
    </xf>
    <xf numFmtId="165" fontId="3" fillId="0" borderId="16" xfId="0" applyNumberFormat="1" applyFont="1" applyBorder="1" applyAlignment="1">
      <alignment horizontal="center" wrapText="1"/>
    </xf>
    <xf numFmtId="0" fontId="0" fillId="0" borderId="7" xfId="0" applyBorder="1"/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wrapText="1"/>
    </xf>
    <xf numFmtId="165" fontId="6" fillId="0" borderId="16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5" fontId="7" fillId="0" borderId="1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165" fontId="7" fillId="0" borderId="16" xfId="0" applyNumberFormat="1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65" fontId="1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2" fontId="7" fillId="0" borderId="16" xfId="0" applyNumberFormat="1" applyFont="1" applyBorder="1" applyAlignment="1">
      <alignment horizontal="center" vertical="top" wrapText="1"/>
    </xf>
    <xf numFmtId="4" fontId="7" fillId="0" borderId="16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vertical="top" wrapText="1"/>
    </xf>
    <xf numFmtId="166" fontId="7" fillId="0" borderId="16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wrapText="1"/>
    </xf>
    <xf numFmtId="165" fontId="11" fillId="0" borderId="16" xfId="0" applyNumberFormat="1" applyFont="1" applyBorder="1" applyAlignment="1">
      <alignment horizontal="center" vertical="top" wrapText="1"/>
    </xf>
    <xf numFmtId="2" fontId="0" fillId="0" borderId="0" xfId="0" applyNumberFormat="1"/>
    <xf numFmtId="165" fontId="3" fillId="0" borderId="8" xfId="0" applyNumberFormat="1" applyFont="1" applyBorder="1" applyAlignment="1">
      <alignment horizontal="center" wrapText="1"/>
    </xf>
    <xf numFmtId="0" fontId="1" fillId="0" borderId="1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5" fontId="11" fillId="0" borderId="3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165" fontId="3" fillId="2" borderId="16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0" fillId="2" borderId="0" xfId="0" applyFill="1"/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165" fontId="18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165" fontId="11" fillId="0" borderId="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2" fontId="7" fillId="0" borderId="14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65" fontId="11" fillId="0" borderId="8" xfId="0" applyNumberFormat="1" applyFont="1" applyBorder="1" applyAlignment="1">
      <alignment horizontal="center" vertical="top" wrapText="1"/>
    </xf>
    <xf numFmtId="165" fontId="11" fillId="0" borderId="13" xfId="0" applyNumberFormat="1" applyFont="1" applyBorder="1" applyAlignment="1">
      <alignment horizontal="center" vertical="top" wrapText="1"/>
    </xf>
    <xf numFmtId="165" fontId="11" fillId="0" borderId="14" xfId="0" applyNumberFormat="1" applyFont="1" applyBorder="1" applyAlignment="1">
      <alignment horizontal="center" vertical="top" wrapText="1"/>
    </xf>
    <xf numFmtId="165" fontId="11" fillId="0" borderId="11" xfId="0" applyNumberFormat="1" applyFont="1" applyBorder="1" applyAlignment="1">
      <alignment horizontal="center" wrapText="1"/>
    </xf>
    <xf numFmtId="165" fontId="11" fillId="0" borderId="8" xfId="0" applyNumberFormat="1" applyFont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6" xfId="0" applyBorder="1"/>
    <xf numFmtId="165" fontId="0" fillId="0" borderId="16" xfId="0" applyNumberFormat="1" applyBorder="1"/>
    <xf numFmtId="165" fontId="6" fillId="0" borderId="16" xfId="0" applyNumberFormat="1" applyFont="1" applyBorder="1" applyAlignment="1">
      <alignment horizontal="right" wrapText="1"/>
    </xf>
    <xf numFmtId="0" fontId="0" fillId="2" borderId="16" xfId="0" applyFill="1" applyBorder="1"/>
    <xf numFmtId="165" fontId="11" fillId="0" borderId="16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16" xfId="0" applyFont="1" applyBorder="1" applyAlignment="1">
      <alignment horizontal="justify" vertical="top" wrapText="1"/>
    </xf>
    <xf numFmtId="0" fontId="2" fillId="2" borderId="16" xfId="0" applyFont="1" applyFill="1" applyBorder="1" applyAlignment="1">
      <alignment horizontal="justify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6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1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4" xfId="0" applyFont="1" applyBorder="1" applyAlignment="1">
      <alignment horizontal="right" wrapText="1"/>
    </xf>
    <xf numFmtId="0" fontId="17" fillId="0" borderId="4" xfId="0" applyFont="1" applyBorder="1" applyAlignment="1">
      <alignment horizontal="right" wrapText="1"/>
    </xf>
    <xf numFmtId="0" fontId="2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2" fillId="0" borderId="1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165" fontId="11" fillId="0" borderId="1" xfId="0" applyNumberFormat="1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wrapText="1"/>
    </xf>
    <xf numFmtId="165" fontId="11" fillId="0" borderId="3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2" fillId="0" borderId="1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5" fillId="0" borderId="16" xfId="0" applyFont="1" applyBorder="1" applyAlignment="1">
      <alignment vertical="top" wrapText="1"/>
    </xf>
    <xf numFmtId="0" fontId="15" fillId="0" borderId="16" xfId="0" applyFont="1" applyBorder="1" applyAlignment="1">
      <alignment horizontal="justify" vertical="top" wrapText="1"/>
    </xf>
    <xf numFmtId="0" fontId="14" fillId="0" borderId="16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0" fillId="0" borderId="4" xfId="0" applyBorder="1" applyAlignment="1">
      <alignment wrapText="1"/>
    </xf>
    <xf numFmtId="0" fontId="1" fillId="0" borderId="1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view="pageBreakPreview" zoomScale="60" zoomScaleNormal="100" workbookViewId="0">
      <selection sqref="A1:XFD1048576"/>
    </sheetView>
  </sheetViews>
  <sheetFormatPr defaultRowHeight="15"/>
  <cols>
    <col min="2" max="2" width="17.5703125" customWidth="1"/>
    <col min="3" max="3" width="21.5703125" customWidth="1"/>
    <col min="4" max="4" width="24.85546875" customWidth="1"/>
    <col min="5" max="5" width="18.85546875" customWidth="1"/>
    <col min="6" max="6" width="17.140625" customWidth="1"/>
    <col min="7" max="7" width="15.28515625" customWidth="1"/>
    <col min="8" max="8" width="14.42578125" customWidth="1"/>
    <col min="9" max="9" width="15" customWidth="1"/>
    <col min="10" max="11" width="15.85546875" customWidth="1"/>
    <col min="12" max="12" width="15.42578125" customWidth="1"/>
  </cols>
  <sheetData>
    <row r="1" spans="1:13" ht="47.25" customHeight="1" thickBot="1">
      <c r="A1" s="127" t="s">
        <v>0</v>
      </c>
      <c r="B1" s="161" t="s">
        <v>1</v>
      </c>
      <c r="C1" s="162"/>
      <c r="D1" s="181" t="s">
        <v>2</v>
      </c>
      <c r="E1" s="127" t="s">
        <v>3</v>
      </c>
      <c r="F1" s="100" t="s">
        <v>4</v>
      </c>
      <c r="G1" s="17" t="s">
        <v>6</v>
      </c>
      <c r="H1" s="18"/>
      <c r="I1" s="18"/>
      <c r="J1" s="19"/>
      <c r="K1" s="19"/>
    </row>
    <row r="2" spans="1:13" ht="15.75" customHeight="1" thickBot="1">
      <c r="A2" s="128"/>
      <c r="B2" s="163"/>
      <c r="C2" s="164"/>
      <c r="D2" s="182"/>
      <c r="E2" s="128"/>
      <c r="F2" s="101" t="s">
        <v>5</v>
      </c>
      <c r="G2" s="5">
        <v>2022</v>
      </c>
      <c r="H2" s="5" t="s">
        <v>68</v>
      </c>
      <c r="I2" s="5" t="s">
        <v>69</v>
      </c>
      <c r="J2" s="5" t="s">
        <v>70</v>
      </c>
      <c r="K2" s="106" t="s">
        <v>71</v>
      </c>
      <c r="L2" s="121" t="s">
        <v>103</v>
      </c>
      <c r="M2" s="105"/>
    </row>
    <row r="3" spans="1:13" ht="16.5" thickBot="1">
      <c r="A3" s="160"/>
      <c r="B3" s="165"/>
      <c r="C3" s="166"/>
      <c r="D3" s="183"/>
      <c r="E3" s="160"/>
      <c r="F3" s="3"/>
      <c r="G3" s="6" t="s">
        <v>7</v>
      </c>
      <c r="H3" s="6"/>
      <c r="I3" s="6"/>
      <c r="J3" s="6"/>
      <c r="K3" s="107"/>
      <c r="L3" s="122"/>
    </row>
    <row r="4" spans="1:13" ht="16.5" customHeight="1" thickBot="1">
      <c r="A4" s="173" t="s">
        <v>8</v>
      </c>
      <c r="B4" s="174"/>
      <c r="C4" s="174"/>
      <c r="D4" s="174"/>
      <c r="E4" s="177"/>
      <c r="F4" s="102"/>
      <c r="G4" s="102"/>
      <c r="H4" s="102"/>
      <c r="I4" s="102"/>
      <c r="J4" s="102"/>
      <c r="K4" s="108"/>
      <c r="L4" s="122"/>
    </row>
    <row r="5" spans="1:13" ht="30" customHeight="1" thickBot="1">
      <c r="A5" s="7" t="s">
        <v>9</v>
      </c>
      <c r="B5" s="179" t="s">
        <v>10</v>
      </c>
      <c r="C5" s="180"/>
      <c r="D5" s="8" t="s">
        <v>11</v>
      </c>
      <c r="E5" s="20">
        <v>2022</v>
      </c>
      <c r="F5" s="8" t="s">
        <v>80</v>
      </c>
      <c r="G5" s="21">
        <v>14797.516</v>
      </c>
      <c r="H5" s="9">
        <v>1858.4</v>
      </c>
      <c r="I5" s="9">
        <f>L5-H5</f>
        <v>2297.2000000000003</v>
      </c>
      <c r="J5" s="9"/>
      <c r="K5" s="109"/>
      <c r="L5" s="122">
        <v>4155.6000000000004</v>
      </c>
    </row>
    <row r="6" spans="1:13" ht="46.5" customHeight="1" thickBot="1">
      <c r="A6" s="95" t="s">
        <v>13</v>
      </c>
      <c r="B6" s="161" t="s">
        <v>78</v>
      </c>
      <c r="C6" s="162"/>
      <c r="D6" s="31" t="s">
        <v>15</v>
      </c>
      <c r="E6" s="36">
        <v>2022</v>
      </c>
      <c r="F6" s="31" t="s">
        <v>16</v>
      </c>
      <c r="G6" s="32">
        <v>32543.200000000001</v>
      </c>
      <c r="H6" s="32">
        <v>12429.5</v>
      </c>
      <c r="I6" s="32">
        <f>L6-H6</f>
        <v>9407</v>
      </c>
      <c r="J6" s="32"/>
      <c r="K6" s="109"/>
      <c r="L6" s="122">
        <v>21836.5</v>
      </c>
    </row>
    <row r="7" spans="1:13" ht="49.5" customHeight="1" thickBot="1">
      <c r="A7" s="95" t="s">
        <v>17</v>
      </c>
      <c r="B7" s="161" t="s">
        <v>18</v>
      </c>
      <c r="C7" s="178"/>
      <c r="D7" s="37" t="s">
        <v>19</v>
      </c>
      <c r="E7" s="42">
        <v>2022</v>
      </c>
      <c r="F7" s="37" t="s">
        <v>16</v>
      </c>
      <c r="G7" s="40">
        <v>4185.8999999999996</v>
      </c>
      <c r="H7" s="40">
        <f>649.1</f>
        <v>649.1</v>
      </c>
      <c r="I7" s="40">
        <f>L7-H7</f>
        <v>422.6</v>
      </c>
      <c r="J7" s="32"/>
      <c r="K7" s="109"/>
      <c r="L7" s="122">
        <v>1071.7</v>
      </c>
    </row>
    <row r="8" spans="1:13" ht="66.599999999999994" customHeight="1" thickBot="1">
      <c r="A8" s="99" t="s">
        <v>21</v>
      </c>
      <c r="B8" s="143" t="s">
        <v>22</v>
      </c>
      <c r="C8" s="144"/>
      <c r="D8" s="37" t="s">
        <v>23</v>
      </c>
      <c r="E8" s="42">
        <v>2022</v>
      </c>
      <c r="F8" s="37" t="s">
        <v>16</v>
      </c>
      <c r="G8" s="40">
        <v>1000</v>
      </c>
      <c r="H8" s="40">
        <f>1.5+4.2+62.9+5.5</f>
        <v>74.099999999999994</v>
      </c>
      <c r="I8" s="40">
        <f>L8-H8</f>
        <v>20.400000000000006</v>
      </c>
      <c r="J8" s="32"/>
      <c r="K8" s="109"/>
      <c r="L8" s="122">
        <v>94.5</v>
      </c>
    </row>
    <row r="9" spans="1:13" ht="48.6" customHeight="1" thickBot="1">
      <c r="A9" s="99" t="s">
        <v>25</v>
      </c>
      <c r="B9" s="143" t="s">
        <v>26</v>
      </c>
      <c r="C9" s="145"/>
      <c r="D9" s="61" t="s">
        <v>27</v>
      </c>
      <c r="E9" s="20">
        <v>2022</v>
      </c>
      <c r="F9" s="61" t="s">
        <v>16</v>
      </c>
      <c r="G9" s="21">
        <v>1142.9000000000001</v>
      </c>
      <c r="H9" s="21">
        <f>184.3+25.8+326.7</f>
        <v>536.79999999999995</v>
      </c>
      <c r="I9" s="21">
        <f>L9-H9</f>
        <v>776.40000000000009</v>
      </c>
      <c r="J9" s="32"/>
      <c r="K9" s="109"/>
      <c r="L9" s="122">
        <v>1313.2</v>
      </c>
    </row>
    <row r="10" spans="1:13" ht="63.6" customHeight="1" thickBot="1">
      <c r="A10" s="99" t="s">
        <v>29</v>
      </c>
      <c r="B10" s="143" t="s">
        <v>30</v>
      </c>
      <c r="C10" s="145"/>
      <c r="D10" s="61" t="s">
        <v>31</v>
      </c>
      <c r="E10" s="20">
        <v>2022</v>
      </c>
      <c r="F10" s="61" t="s">
        <v>16</v>
      </c>
      <c r="G10" s="21">
        <v>2499.4</v>
      </c>
      <c r="H10" s="21">
        <v>172.8</v>
      </c>
      <c r="I10" s="21">
        <f t="shared" ref="I10:I12" si="0">L10-H10</f>
        <v>247.5</v>
      </c>
      <c r="J10" s="32"/>
      <c r="K10" s="109"/>
      <c r="L10" s="122">
        <v>420.3</v>
      </c>
    </row>
    <row r="11" spans="1:13" ht="66" customHeight="1" thickBot="1">
      <c r="A11" s="99" t="s">
        <v>33</v>
      </c>
      <c r="B11" s="143" t="s">
        <v>34</v>
      </c>
      <c r="C11" s="145"/>
      <c r="D11" s="61" t="s">
        <v>79</v>
      </c>
      <c r="E11" s="20">
        <v>2022</v>
      </c>
      <c r="F11" s="61" t="s">
        <v>16</v>
      </c>
      <c r="G11" s="21">
        <v>340.2</v>
      </c>
      <c r="H11" s="9">
        <v>14.6</v>
      </c>
      <c r="I11" s="21">
        <f t="shared" si="0"/>
        <v>12.799999999999999</v>
      </c>
      <c r="J11" s="32"/>
      <c r="K11" s="109"/>
      <c r="L11" s="122">
        <v>27.4</v>
      </c>
    </row>
    <row r="12" spans="1:13" ht="30" customHeight="1" thickBot="1">
      <c r="A12" s="99" t="s">
        <v>36</v>
      </c>
      <c r="B12" s="143" t="s">
        <v>37</v>
      </c>
      <c r="C12" s="145"/>
      <c r="D12" s="61" t="s">
        <v>38</v>
      </c>
      <c r="E12" s="20">
        <v>2022</v>
      </c>
      <c r="F12" s="61" t="s">
        <v>16</v>
      </c>
      <c r="G12" s="21">
        <v>4681</v>
      </c>
      <c r="H12" s="21">
        <f>106.6+286.9+21+1.4+18.3+389.1+380.4</f>
        <v>1203.6999999999998</v>
      </c>
      <c r="I12" s="21">
        <f t="shared" si="0"/>
        <v>1744.2000000000003</v>
      </c>
      <c r="J12" s="40"/>
      <c r="K12" s="109"/>
      <c r="L12" s="49">
        <f>1409+1538.9</f>
        <v>2947.9</v>
      </c>
      <c r="M12" t="s">
        <v>99</v>
      </c>
    </row>
    <row r="13" spans="1:13" ht="30" customHeight="1" thickBot="1">
      <c r="A13" s="167" t="s">
        <v>40</v>
      </c>
      <c r="B13" s="168"/>
      <c r="C13" s="168"/>
      <c r="D13" s="168"/>
      <c r="E13" s="169"/>
      <c r="F13" s="61"/>
      <c r="G13" s="25">
        <f>SUM(G5:G12)</f>
        <v>61190.116000000002</v>
      </c>
      <c r="H13" s="25">
        <f>SUM(H5:H12)</f>
        <v>16939</v>
      </c>
      <c r="I13" s="25">
        <f>SUM(I5:I12)</f>
        <v>14928.1</v>
      </c>
      <c r="J13" s="12">
        <f t="shared" ref="J13:L13" si="1">SUM(J5:J12)</f>
        <v>0</v>
      </c>
      <c r="K13" s="110">
        <f t="shared" si="1"/>
        <v>0</v>
      </c>
      <c r="L13" s="50">
        <f t="shared" si="1"/>
        <v>31867.100000000002</v>
      </c>
    </row>
    <row r="14" spans="1:13" ht="30" customHeight="1" thickBot="1">
      <c r="A14" s="134" t="s">
        <v>41</v>
      </c>
      <c r="B14" s="135"/>
      <c r="C14" s="135"/>
      <c r="D14" s="135"/>
      <c r="E14" s="142"/>
      <c r="F14" s="13" t="s">
        <v>12</v>
      </c>
      <c r="G14" s="25">
        <f>G5</f>
        <v>14797.516</v>
      </c>
      <c r="H14" s="12">
        <f>H5</f>
        <v>1858.4</v>
      </c>
      <c r="I14" s="25">
        <f>I5</f>
        <v>2297.2000000000003</v>
      </c>
      <c r="J14" s="12">
        <f>J5</f>
        <v>0</v>
      </c>
      <c r="K14" s="110">
        <f>K5</f>
        <v>0</v>
      </c>
      <c r="L14" s="51">
        <f t="shared" ref="L14" si="2">L5</f>
        <v>4155.6000000000004</v>
      </c>
    </row>
    <row r="15" spans="1:13" ht="30" customHeight="1" thickBot="1">
      <c r="A15" s="170"/>
      <c r="B15" s="171"/>
      <c r="C15" s="171"/>
      <c r="D15" s="171"/>
      <c r="E15" s="172"/>
      <c r="F15" s="13" t="s">
        <v>42</v>
      </c>
      <c r="G15" s="25">
        <f>SUM(G6:G12)</f>
        <v>46392.6</v>
      </c>
      <c r="H15" s="25">
        <f>SUM(H6:H12)</f>
        <v>15080.599999999999</v>
      </c>
      <c r="I15" s="25">
        <f>SUM(I6:I12)</f>
        <v>12630.9</v>
      </c>
      <c r="J15" s="12">
        <f t="shared" ref="J15:L15" si="3">SUM(J6:J12)</f>
        <v>0</v>
      </c>
      <c r="K15" s="110">
        <f t="shared" si="3"/>
        <v>0</v>
      </c>
      <c r="L15" s="50">
        <f t="shared" si="3"/>
        <v>27711.500000000004</v>
      </c>
    </row>
    <row r="16" spans="1:13" ht="30" customHeight="1" thickBot="1">
      <c r="A16" s="173" t="s">
        <v>43</v>
      </c>
      <c r="B16" s="174"/>
      <c r="C16" s="174"/>
      <c r="D16" s="175"/>
      <c r="E16" s="176"/>
      <c r="F16" s="153"/>
      <c r="G16" s="154"/>
      <c r="H16" s="154"/>
      <c r="I16" s="154"/>
      <c r="J16" s="155"/>
      <c r="L16" s="122"/>
    </row>
    <row r="17" spans="1:13" ht="30" customHeight="1" thickBot="1">
      <c r="A17" s="127" t="s">
        <v>44</v>
      </c>
      <c r="B17" s="161" t="s">
        <v>45</v>
      </c>
      <c r="C17" s="162"/>
      <c r="D17" s="141" t="s">
        <v>46</v>
      </c>
      <c r="E17" s="45">
        <v>2022</v>
      </c>
      <c r="F17" s="98" t="s">
        <v>80</v>
      </c>
      <c r="G17" s="53">
        <v>198.1</v>
      </c>
      <c r="H17" s="54"/>
      <c r="I17" s="54"/>
      <c r="J17" s="54"/>
      <c r="K17" s="111"/>
      <c r="L17" s="122"/>
    </row>
    <row r="18" spans="1:13" ht="35.25" customHeight="1" thickBot="1">
      <c r="A18" s="128"/>
      <c r="B18" s="163"/>
      <c r="C18" s="164"/>
      <c r="D18" s="141"/>
      <c r="E18" s="45">
        <v>2022</v>
      </c>
      <c r="F18" s="98" t="s">
        <v>42</v>
      </c>
      <c r="G18" s="53">
        <v>2248.5</v>
      </c>
      <c r="H18" s="53">
        <f>465+18.3</f>
        <v>483.3</v>
      </c>
      <c r="I18" s="73">
        <f>L18-H18</f>
        <v>576.10000000000014</v>
      </c>
      <c r="J18" s="53"/>
      <c r="K18" s="112"/>
      <c r="L18" s="122">
        <f>1036.4+23</f>
        <v>1059.4000000000001</v>
      </c>
      <c r="M18" t="s">
        <v>100</v>
      </c>
    </row>
    <row r="19" spans="1:13" ht="30" customHeight="1" thickBot="1">
      <c r="A19" s="128"/>
      <c r="B19" s="163"/>
      <c r="C19" s="164"/>
      <c r="D19" s="141" t="s">
        <v>47</v>
      </c>
      <c r="E19" s="45">
        <v>2022</v>
      </c>
      <c r="F19" s="98" t="s">
        <v>80</v>
      </c>
      <c r="G19" s="55">
        <v>727.7</v>
      </c>
      <c r="H19" s="55">
        <v>105.9</v>
      </c>
      <c r="I19" s="73">
        <f t="shared" ref="I19:I29" si="4">L19-H19</f>
        <v>191.9</v>
      </c>
      <c r="J19" s="53"/>
      <c r="K19" s="112"/>
      <c r="L19" s="123">
        <v>297.8</v>
      </c>
    </row>
    <row r="20" spans="1:13" ht="34.5" customHeight="1" thickBot="1">
      <c r="A20" s="128"/>
      <c r="B20" s="163"/>
      <c r="C20" s="164"/>
      <c r="D20" s="141"/>
      <c r="E20" s="45">
        <v>2022</v>
      </c>
      <c r="F20" s="98" t="s">
        <v>42</v>
      </c>
      <c r="G20" s="55">
        <v>9266.7000000000007</v>
      </c>
      <c r="H20" s="56">
        <f>2025.8+389.1</f>
        <v>2414.9</v>
      </c>
      <c r="I20" s="73">
        <f t="shared" si="4"/>
        <v>2028.6999999999994</v>
      </c>
      <c r="J20" s="53"/>
      <c r="K20" s="112"/>
      <c r="L20" s="122">
        <f>3559.7+883.9</f>
        <v>4443.5999999999995</v>
      </c>
      <c r="M20" t="s">
        <v>101</v>
      </c>
    </row>
    <row r="21" spans="1:13" ht="39" customHeight="1" thickBot="1">
      <c r="A21" s="128"/>
      <c r="B21" s="163"/>
      <c r="C21" s="164"/>
      <c r="D21" s="97" t="s">
        <v>48</v>
      </c>
      <c r="E21" s="45">
        <v>2022</v>
      </c>
      <c r="F21" s="98" t="s">
        <v>42</v>
      </c>
      <c r="G21" s="53">
        <v>765.2</v>
      </c>
      <c r="H21" s="54">
        <v>168.4</v>
      </c>
      <c r="I21" s="73">
        <f t="shared" si="4"/>
        <v>147.99999999999997</v>
      </c>
      <c r="J21" s="53"/>
      <c r="K21" s="112"/>
      <c r="L21" s="122">
        <v>316.39999999999998</v>
      </c>
    </row>
    <row r="22" spans="1:13" ht="30" customHeight="1" thickBot="1">
      <c r="A22" s="128"/>
      <c r="B22" s="163"/>
      <c r="C22" s="164"/>
      <c r="D22" s="141" t="s">
        <v>49</v>
      </c>
      <c r="E22" s="45">
        <v>2022</v>
      </c>
      <c r="F22" s="98" t="s">
        <v>80</v>
      </c>
      <c r="G22" s="55">
        <v>653.79999999999995</v>
      </c>
      <c r="H22" s="55">
        <v>28.7</v>
      </c>
      <c r="I22" s="73">
        <f t="shared" si="4"/>
        <v>32</v>
      </c>
      <c r="J22" s="53"/>
      <c r="K22" s="112"/>
      <c r="L22" s="122">
        <v>60.7</v>
      </c>
    </row>
    <row r="23" spans="1:13" ht="30" customHeight="1" thickBot="1">
      <c r="A23" s="128"/>
      <c r="B23" s="163"/>
      <c r="C23" s="164"/>
      <c r="D23" s="141"/>
      <c r="E23" s="45">
        <v>2022</v>
      </c>
      <c r="F23" s="98" t="s">
        <v>42</v>
      </c>
      <c r="G23" s="53">
        <v>1116.3</v>
      </c>
      <c r="H23" s="54">
        <f>409.2-3</f>
        <v>406.2</v>
      </c>
      <c r="I23" s="73">
        <f t="shared" si="4"/>
        <v>553.40000000000009</v>
      </c>
      <c r="J23" s="53"/>
      <c r="K23" s="112"/>
      <c r="L23" s="122">
        <f>965.4-5.8</f>
        <v>959.6</v>
      </c>
    </row>
    <row r="24" spans="1:13" ht="30" customHeight="1" thickBot="1">
      <c r="A24" s="128"/>
      <c r="B24" s="163"/>
      <c r="C24" s="164"/>
      <c r="D24" s="141" t="s">
        <v>50</v>
      </c>
      <c r="E24" s="45">
        <v>2022</v>
      </c>
      <c r="F24" s="98" t="s">
        <v>80</v>
      </c>
      <c r="G24" s="53">
        <v>2418</v>
      </c>
      <c r="H24" s="55">
        <f>558.8+30+164</f>
        <v>752.8</v>
      </c>
      <c r="I24" s="73">
        <f t="shared" si="4"/>
        <v>666.3</v>
      </c>
      <c r="J24" s="53"/>
      <c r="K24" s="112"/>
      <c r="L24" s="122">
        <v>1419.1</v>
      </c>
    </row>
    <row r="25" spans="1:13" ht="37.5" customHeight="1" thickBot="1">
      <c r="A25" s="128"/>
      <c r="B25" s="163"/>
      <c r="C25" s="164"/>
      <c r="D25" s="141"/>
      <c r="E25" s="45">
        <v>2022</v>
      </c>
      <c r="F25" s="98" t="s">
        <v>42</v>
      </c>
      <c r="G25" s="53">
        <v>188.8</v>
      </c>
      <c r="H25" s="53">
        <f>9.6+59.6</f>
        <v>69.2</v>
      </c>
      <c r="I25" s="73">
        <f t="shared" si="4"/>
        <v>54.599999999999994</v>
      </c>
      <c r="J25" s="53"/>
      <c r="K25" s="112"/>
      <c r="L25" s="122">
        <v>123.8</v>
      </c>
    </row>
    <row r="26" spans="1:13" ht="30" customHeight="1" thickBot="1">
      <c r="A26" s="128"/>
      <c r="B26" s="163"/>
      <c r="C26" s="164"/>
      <c r="D26" s="141" t="s">
        <v>51</v>
      </c>
      <c r="E26" s="45">
        <v>2022</v>
      </c>
      <c r="F26" s="98" t="s">
        <v>80</v>
      </c>
      <c r="G26" s="55">
        <v>4380</v>
      </c>
      <c r="H26" s="55">
        <f>796.2+174.8</f>
        <v>971</v>
      </c>
      <c r="I26" s="73">
        <f t="shared" si="4"/>
        <v>1407</v>
      </c>
      <c r="J26" s="53"/>
      <c r="K26" s="112"/>
      <c r="L26" s="122">
        <v>2378</v>
      </c>
    </row>
    <row r="27" spans="1:13" ht="39.75" customHeight="1" thickBot="1">
      <c r="A27" s="128"/>
      <c r="B27" s="163"/>
      <c r="C27" s="164"/>
      <c r="D27" s="141"/>
      <c r="E27" s="45">
        <v>2022</v>
      </c>
      <c r="F27" s="98" t="s">
        <v>42</v>
      </c>
      <c r="G27" s="55">
        <v>30004.6</v>
      </c>
      <c r="H27" s="76">
        <f>7360.7+1644.8</f>
        <v>9005.5</v>
      </c>
      <c r="I27" s="73">
        <f t="shared" si="4"/>
        <v>8940.2999999999993</v>
      </c>
      <c r="J27" s="53"/>
      <c r="K27" s="112"/>
      <c r="L27" s="122">
        <f>17945+0.8</f>
        <v>17945.8</v>
      </c>
    </row>
    <row r="28" spans="1:13" ht="48" customHeight="1" thickBot="1">
      <c r="A28" s="128"/>
      <c r="B28" s="163"/>
      <c r="C28" s="164"/>
      <c r="D28" s="97" t="s">
        <v>52</v>
      </c>
      <c r="E28" s="45">
        <v>2022</v>
      </c>
      <c r="F28" s="98" t="s">
        <v>42</v>
      </c>
      <c r="G28" s="46">
        <v>150</v>
      </c>
      <c r="H28" s="49">
        <f>0.4+3</f>
        <v>3.4</v>
      </c>
      <c r="I28" s="73">
        <f t="shared" si="4"/>
        <v>2.4</v>
      </c>
      <c r="J28" s="53"/>
      <c r="K28" s="112"/>
      <c r="L28" s="122">
        <v>5.8</v>
      </c>
      <c r="M28" t="s">
        <v>102</v>
      </c>
    </row>
    <row r="29" spans="1:13" ht="30" customHeight="1" thickBot="1">
      <c r="A29" s="160"/>
      <c r="B29" s="165"/>
      <c r="C29" s="166"/>
      <c r="D29" s="97" t="s">
        <v>53</v>
      </c>
      <c r="E29" s="45">
        <v>2022</v>
      </c>
      <c r="F29" s="98" t="s">
        <v>42</v>
      </c>
      <c r="G29" s="53">
        <v>287.3</v>
      </c>
      <c r="H29" s="54">
        <v>43.1</v>
      </c>
      <c r="I29" s="73">
        <f t="shared" si="4"/>
        <v>91.9</v>
      </c>
      <c r="J29" s="53"/>
      <c r="K29" s="112"/>
      <c r="L29" s="123">
        <v>135</v>
      </c>
    </row>
    <row r="30" spans="1:13" ht="30" customHeight="1" thickBot="1">
      <c r="A30" s="134" t="s">
        <v>54</v>
      </c>
      <c r="B30" s="135"/>
      <c r="C30" s="135"/>
      <c r="D30" s="135"/>
      <c r="E30" s="135"/>
      <c r="F30" s="142"/>
      <c r="G30" s="28">
        <f t="shared" ref="G30:L30" si="5">SUM(G17:G29)</f>
        <v>52405</v>
      </c>
      <c r="H30" s="28">
        <f t="shared" si="5"/>
        <v>14452.4</v>
      </c>
      <c r="I30" s="28">
        <f t="shared" si="5"/>
        <v>14692.599999999999</v>
      </c>
      <c r="J30" s="28">
        <f t="shared" si="5"/>
        <v>0</v>
      </c>
      <c r="K30" s="113">
        <f t="shared" si="5"/>
        <v>0</v>
      </c>
      <c r="L30" s="124">
        <f t="shared" si="5"/>
        <v>29144.999999999996</v>
      </c>
    </row>
    <row r="31" spans="1:13" ht="30" customHeight="1" thickBot="1">
      <c r="A31" s="156" t="s">
        <v>55</v>
      </c>
      <c r="B31" s="157"/>
      <c r="C31" s="157"/>
      <c r="D31" s="158"/>
      <c r="E31" s="149" t="s">
        <v>80</v>
      </c>
      <c r="F31" s="159"/>
      <c r="G31" s="28">
        <f>G17+G19+G22+G24+G26</f>
        <v>8377.6</v>
      </c>
      <c r="H31" s="28">
        <f>H17+H19+H22+H24+H26</f>
        <v>1858.4</v>
      </c>
      <c r="I31" s="28">
        <f t="shared" ref="I31:K31" si="6">I17+I19+I22+I24+I26</f>
        <v>2297.1999999999998</v>
      </c>
      <c r="J31" s="28">
        <f t="shared" si="6"/>
        <v>0</v>
      </c>
      <c r="K31" s="113">
        <f t="shared" si="6"/>
        <v>0</v>
      </c>
      <c r="L31" s="124">
        <f>L17+L19+L22+L24+L26</f>
        <v>4155.6000000000004</v>
      </c>
    </row>
    <row r="32" spans="1:13" ht="30" customHeight="1" thickBot="1">
      <c r="A32" s="143"/>
      <c r="B32" s="144"/>
      <c r="C32" s="144"/>
      <c r="D32" s="145"/>
      <c r="E32" s="149" t="s">
        <v>42</v>
      </c>
      <c r="F32" s="150"/>
      <c r="G32" s="28">
        <f>G18+G20+G21+G23+G25+G27+G28+G29+0.2</f>
        <v>44027.6</v>
      </c>
      <c r="H32" s="28">
        <f t="shared" ref="H32:L32" si="7">H18+H20+H21+H23+H25+H27+H28+H29</f>
        <v>12594</v>
      </c>
      <c r="I32" s="28">
        <f t="shared" si="7"/>
        <v>12395.399999999998</v>
      </c>
      <c r="J32" s="28">
        <f t="shared" si="7"/>
        <v>0</v>
      </c>
      <c r="K32" s="113">
        <f t="shared" si="7"/>
        <v>0</v>
      </c>
      <c r="L32" s="124">
        <f t="shared" si="7"/>
        <v>24989.399999999998</v>
      </c>
    </row>
    <row r="33" spans="1:12" ht="30" customHeight="1" thickBot="1">
      <c r="A33" s="127" t="s">
        <v>13</v>
      </c>
      <c r="B33" s="102" t="s">
        <v>56</v>
      </c>
      <c r="C33" s="151"/>
      <c r="D33" s="151"/>
      <c r="E33" s="98"/>
      <c r="F33" s="98"/>
      <c r="G33" s="77"/>
      <c r="H33" s="77"/>
      <c r="I33" s="77"/>
      <c r="J33" s="77"/>
      <c r="K33" s="104"/>
      <c r="L33" s="122"/>
    </row>
    <row r="34" spans="1:12" ht="31.5" customHeight="1" thickBot="1">
      <c r="A34" s="128"/>
      <c r="B34" s="127" t="s">
        <v>41</v>
      </c>
      <c r="C34" s="151" t="s">
        <v>81</v>
      </c>
      <c r="D34" s="151"/>
      <c r="E34" s="86">
        <v>2022</v>
      </c>
      <c r="F34" s="87" t="s">
        <v>80</v>
      </c>
      <c r="G34" s="46">
        <v>670</v>
      </c>
      <c r="H34" s="49"/>
      <c r="I34" s="49"/>
      <c r="J34" s="49"/>
      <c r="K34" s="114"/>
      <c r="L34" s="122"/>
    </row>
    <row r="35" spans="1:12" ht="65.45" customHeight="1" thickBot="1">
      <c r="A35" s="128"/>
      <c r="B35" s="128"/>
      <c r="C35" s="132" t="s">
        <v>96</v>
      </c>
      <c r="D35" s="132"/>
      <c r="E35" s="86">
        <v>2022</v>
      </c>
      <c r="F35" s="87" t="s">
        <v>42</v>
      </c>
      <c r="G35" s="46">
        <v>210</v>
      </c>
      <c r="H35" s="49"/>
      <c r="I35" s="49"/>
      <c r="J35" s="49"/>
      <c r="K35" s="114"/>
      <c r="L35" s="122"/>
    </row>
    <row r="36" spans="1:12" ht="53.45" customHeight="1" thickBot="1">
      <c r="A36" s="128"/>
      <c r="B36" s="128"/>
      <c r="C36" s="151" t="s">
        <v>97</v>
      </c>
      <c r="D36" s="151"/>
      <c r="E36" s="86">
        <v>2022</v>
      </c>
      <c r="F36" s="87" t="s">
        <v>42</v>
      </c>
      <c r="G36" s="46">
        <v>20</v>
      </c>
      <c r="H36" s="49"/>
      <c r="I36" s="49"/>
      <c r="J36" s="49"/>
      <c r="K36" s="114"/>
      <c r="L36" s="122"/>
    </row>
    <row r="37" spans="1:12" ht="35.1" customHeight="1" thickBot="1">
      <c r="A37" s="128"/>
      <c r="B37" s="128"/>
      <c r="C37" s="151" t="s">
        <v>82</v>
      </c>
      <c r="D37" s="151"/>
      <c r="E37" s="86">
        <v>2022</v>
      </c>
      <c r="F37" s="87" t="s">
        <v>80</v>
      </c>
      <c r="G37" s="46">
        <v>500</v>
      </c>
      <c r="H37" s="94"/>
      <c r="I37" s="49"/>
      <c r="J37" s="78"/>
      <c r="K37" s="114"/>
      <c r="L37" s="122"/>
    </row>
    <row r="38" spans="1:12" ht="30" customHeight="1" thickBot="1">
      <c r="A38" s="128"/>
      <c r="B38" s="128"/>
      <c r="C38" s="151" t="s">
        <v>83</v>
      </c>
      <c r="D38" s="151"/>
      <c r="E38" s="86">
        <v>2022</v>
      </c>
      <c r="F38" s="87" t="s">
        <v>80</v>
      </c>
      <c r="G38" s="46">
        <v>3000</v>
      </c>
      <c r="H38" s="49"/>
      <c r="I38" s="49"/>
      <c r="J38" s="49"/>
      <c r="K38" s="114"/>
      <c r="L38" s="122"/>
    </row>
    <row r="39" spans="1:12" ht="18.600000000000001" customHeight="1" thickBot="1">
      <c r="A39" s="128"/>
      <c r="B39" s="128"/>
      <c r="C39" s="132" t="s">
        <v>84</v>
      </c>
      <c r="D39" s="132"/>
      <c r="E39" s="86">
        <v>2022</v>
      </c>
      <c r="F39" s="87" t="s">
        <v>80</v>
      </c>
      <c r="G39" s="55">
        <v>120</v>
      </c>
      <c r="H39" s="56"/>
      <c r="I39" s="56"/>
      <c r="J39" s="56"/>
      <c r="K39" s="114"/>
      <c r="L39" s="122"/>
    </row>
    <row r="40" spans="1:12" ht="15.6" customHeight="1" thickBot="1">
      <c r="A40" s="128"/>
      <c r="B40" s="128"/>
      <c r="C40" s="132"/>
      <c r="D40" s="132"/>
      <c r="E40" s="86">
        <v>2022</v>
      </c>
      <c r="F40" s="87" t="s">
        <v>42</v>
      </c>
      <c r="G40" s="55">
        <v>200</v>
      </c>
      <c r="H40" s="56"/>
      <c r="I40" s="56"/>
      <c r="J40" s="56"/>
      <c r="K40" s="114"/>
      <c r="L40" s="122"/>
    </row>
    <row r="41" spans="1:12" ht="61.5" customHeight="1" thickBot="1">
      <c r="A41" s="128"/>
      <c r="B41" s="128"/>
      <c r="C41" s="152" t="s">
        <v>95</v>
      </c>
      <c r="D41" s="152"/>
      <c r="E41" s="86">
        <v>2022</v>
      </c>
      <c r="F41" s="87" t="s">
        <v>80</v>
      </c>
      <c r="G41" s="57">
        <v>58.9</v>
      </c>
      <c r="H41" s="58"/>
      <c r="I41" s="58"/>
      <c r="J41" s="49"/>
      <c r="K41" s="114"/>
      <c r="L41" s="122"/>
    </row>
    <row r="42" spans="1:12" ht="22.5" customHeight="1" thickBot="1">
      <c r="A42" s="128"/>
      <c r="B42" s="128"/>
      <c r="C42" s="152" t="s">
        <v>85</v>
      </c>
      <c r="D42" s="152"/>
      <c r="E42" s="86">
        <v>2022</v>
      </c>
      <c r="F42" s="87" t="s">
        <v>80</v>
      </c>
      <c r="G42" s="57">
        <v>800</v>
      </c>
      <c r="H42" s="58"/>
      <c r="I42" s="58"/>
      <c r="J42" s="49"/>
      <c r="K42" s="114"/>
      <c r="L42" s="122"/>
    </row>
    <row r="43" spans="1:12" ht="30" customHeight="1" thickBot="1">
      <c r="A43" s="128"/>
      <c r="B43" s="128"/>
      <c r="C43" s="132" t="s">
        <v>86</v>
      </c>
      <c r="D43" s="132"/>
      <c r="E43" s="86">
        <v>2022</v>
      </c>
      <c r="F43" s="87" t="s">
        <v>80</v>
      </c>
      <c r="G43" s="46">
        <v>71</v>
      </c>
      <c r="H43" s="49"/>
      <c r="I43" s="49"/>
      <c r="J43" s="49"/>
      <c r="K43" s="114"/>
      <c r="L43" s="122"/>
    </row>
    <row r="44" spans="1:12" ht="36.950000000000003" customHeight="1" thickBot="1">
      <c r="A44" s="128"/>
      <c r="B44" s="128"/>
      <c r="C44" s="132"/>
      <c r="D44" s="132"/>
      <c r="E44" s="86">
        <v>2022</v>
      </c>
      <c r="F44" s="87" t="s">
        <v>42</v>
      </c>
      <c r="G44" s="46">
        <v>20</v>
      </c>
      <c r="H44" s="49"/>
      <c r="I44" s="49"/>
      <c r="J44" s="49"/>
      <c r="K44" s="114"/>
      <c r="L44" s="122"/>
    </row>
    <row r="45" spans="1:12" ht="23.45" customHeight="1" thickBot="1">
      <c r="A45" s="127"/>
      <c r="B45" s="127"/>
      <c r="C45" s="129" t="s">
        <v>62</v>
      </c>
      <c r="D45" s="129"/>
      <c r="E45" s="86">
        <v>2022</v>
      </c>
      <c r="F45" s="87" t="s">
        <v>12</v>
      </c>
      <c r="G45" s="46">
        <v>1200</v>
      </c>
      <c r="H45" s="46"/>
      <c r="I45" s="46"/>
      <c r="J45" s="49"/>
      <c r="K45" s="114"/>
      <c r="L45" s="122"/>
    </row>
    <row r="46" spans="1:12" ht="27.95" customHeight="1" thickBot="1">
      <c r="A46" s="128"/>
      <c r="B46" s="128"/>
      <c r="C46" s="129"/>
      <c r="D46" s="129"/>
      <c r="E46" s="86">
        <v>2022</v>
      </c>
      <c r="F46" s="87" t="s">
        <v>42</v>
      </c>
      <c r="G46" s="46">
        <v>300</v>
      </c>
      <c r="H46" s="46"/>
      <c r="I46" s="49"/>
      <c r="J46" s="49"/>
      <c r="K46" s="114"/>
      <c r="L46" s="122"/>
    </row>
    <row r="47" spans="1:12" ht="47.45" customHeight="1" thickBot="1">
      <c r="A47" s="96"/>
      <c r="B47" s="96"/>
      <c r="C47" s="130" t="s">
        <v>87</v>
      </c>
      <c r="D47" s="131"/>
      <c r="E47" s="86">
        <v>2022</v>
      </c>
      <c r="F47" s="87" t="s">
        <v>42</v>
      </c>
      <c r="G47" s="46">
        <v>300</v>
      </c>
      <c r="H47" s="46"/>
      <c r="I47" s="49"/>
      <c r="J47" s="49"/>
      <c r="K47" s="114"/>
      <c r="L47" s="122"/>
    </row>
    <row r="48" spans="1:12" s="91" customFormat="1" ht="30" customHeight="1" thickBot="1">
      <c r="A48" s="88"/>
      <c r="B48" s="88"/>
      <c r="C48" s="133" t="s">
        <v>63</v>
      </c>
      <c r="D48" s="133"/>
      <c r="E48" s="93">
        <v>2022</v>
      </c>
      <c r="F48" s="92" t="s">
        <v>16</v>
      </c>
      <c r="G48" s="89">
        <v>300</v>
      </c>
      <c r="H48" s="89"/>
      <c r="I48" s="90"/>
      <c r="J48" s="90"/>
      <c r="K48" s="115"/>
      <c r="L48" s="125"/>
    </row>
    <row r="49" spans="1:14" ht="47.45" customHeight="1" thickBot="1">
      <c r="A49" s="95"/>
      <c r="B49" s="95"/>
      <c r="C49" s="132" t="s">
        <v>88</v>
      </c>
      <c r="D49" s="132"/>
      <c r="E49" s="86">
        <v>2022</v>
      </c>
      <c r="F49" s="87" t="s">
        <v>16</v>
      </c>
      <c r="G49" s="46">
        <v>300</v>
      </c>
      <c r="H49" s="46">
        <f>338.8-23.6</f>
        <v>315.2</v>
      </c>
      <c r="I49" s="46">
        <f>L49-H49</f>
        <v>746.99999999999977</v>
      </c>
      <c r="J49" s="49"/>
      <c r="K49" s="114"/>
      <c r="L49" s="122">
        <f>1334.1-L55-L56+632.1</f>
        <v>1062.1999999999998</v>
      </c>
    </row>
    <row r="50" spans="1:14" ht="30" customHeight="1" thickBot="1">
      <c r="A50" s="95"/>
      <c r="B50" s="95"/>
      <c r="C50" s="132" t="s">
        <v>89</v>
      </c>
      <c r="D50" s="132"/>
      <c r="E50" s="86">
        <v>2022</v>
      </c>
      <c r="F50" s="87" t="s">
        <v>16</v>
      </c>
      <c r="G50" s="46">
        <v>450</v>
      </c>
      <c r="H50" s="46"/>
      <c r="I50" s="49"/>
      <c r="J50" s="49"/>
      <c r="K50" s="114"/>
      <c r="L50" s="122"/>
    </row>
    <row r="51" spans="1:14" ht="15.95" customHeight="1" thickBot="1">
      <c r="A51" s="95"/>
      <c r="B51" s="95"/>
      <c r="C51" s="132" t="s">
        <v>90</v>
      </c>
      <c r="D51" s="132"/>
      <c r="E51" s="86">
        <v>2022</v>
      </c>
      <c r="F51" s="87" t="s">
        <v>16</v>
      </c>
      <c r="G51" s="46">
        <v>50</v>
      </c>
      <c r="H51" s="46"/>
      <c r="I51" s="49"/>
      <c r="J51" s="49"/>
      <c r="K51" s="114"/>
      <c r="L51" s="122"/>
    </row>
    <row r="52" spans="1:14" ht="17.45" customHeight="1" thickBot="1">
      <c r="A52" s="95"/>
      <c r="B52" s="95"/>
      <c r="C52" s="132" t="s">
        <v>91</v>
      </c>
      <c r="D52" s="132"/>
      <c r="E52" s="86">
        <v>2022</v>
      </c>
      <c r="F52" s="87" t="s">
        <v>16</v>
      </c>
      <c r="G52" s="46">
        <v>80</v>
      </c>
      <c r="H52" s="46"/>
      <c r="I52" s="49"/>
      <c r="J52" s="49"/>
      <c r="K52" s="114"/>
      <c r="L52" s="122"/>
    </row>
    <row r="53" spans="1:14" ht="30" customHeight="1" thickBot="1">
      <c r="A53" s="95"/>
      <c r="B53" s="95"/>
      <c r="C53" s="132" t="s">
        <v>92</v>
      </c>
      <c r="D53" s="132"/>
      <c r="E53" s="86">
        <v>2022</v>
      </c>
      <c r="F53" s="87" t="s">
        <v>16</v>
      </c>
      <c r="G53" s="46">
        <v>60</v>
      </c>
      <c r="H53" s="46"/>
      <c r="I53" s="49"/>
      <c r="J53" s="49"/>
      <c r="K53" s="114"/>
      <c r="L53" s="122"/>
    </row>
    <row r="54" spans="1:14" ht="20.100000000000001" customHeight="1" thickBot="1">
      <c r="A54" s="95"/>
      <c r="B54" s="95"/>
      <c r="C54" s="132" t="s">
        <v>93</v>
      </c>
      <c r="D54" s="132"/>
      <c r="E54" s="86">
        <v>2022</v>
      </c>
      <c r="F54" s="87" t="s">
        <v>16</v>
      </c>
      <c r="G54" s="46">
        <v>30</v>
      </c>
      <c r="H54" s="46"/>
      <c r="I54" s="49"/>
      <c r="J54" s="49"/>
      <c r="K54" s="114"/>
      <c r="L54" s="122"/>
    </row>
    <row r="55" spans="1:14" ht="24.95" customHeight="1" thickBot="1">
      <c r="A55" s="95"/>
      <c r="B55" s="95"/>
      <c r="C55" s="132" t="s">
        <v>94</v>
      </c>
      <c r="D55" s="132"/>
      <c r="E55" s="86">
        <v>2022</v>
      </c>
      <c r="F55" s="87" t="s">
        <v>16</v>
      </c>
      <c r="G55" s="46">
        <v>45</v>
      </c>
      <c r="H55" s="46">
        <v>380.4</v>
      </c>
      <c r="I55" s="49"/>
      <c r="J55" s="49"/>
      <c r="K55" s="114"/>
      <c r="L55" s="122">
        <v>380.4</v>
      </c>
    </row>
    <row r="56" spans="1:14" ht="24.95" customHeight="1" thickBot="1">
      <c r="A56" s="95"/>
      <c r="B56" s="95"/>
      <c r="C56" s="132" t="s">
        <v>98</v>
      </c>
      <c r="D56" s="132"/>
      <c r="E56" s="86">
        <v>2022</v>
      </c>
      <c r="F56" s="87" t="s">
        <v>16</v>
      </c>
      <c r="G56" s="46"/>
      <c r="H56" s="46">
        <v>523.6</v>
      </c>
      <c r="I56" s="49"/>
      <c r="J56" s="49"/>
      <c r="K56" s="114"/>
      <c r="L56" s="122">
        <v>523.6</v>
      </c>
    </row>
    <row r="57" spans="1:14" ht="30" customHeight="1" thickBot="1">
      <c r="A57" s="134" t="s">
        <v>66</v>
      </c>
      <c r="B57" s="135"/>
      <c r="C57" s="136"/>
      <c r="D57" s="136"/>
      <c r="E57" s="136"/>
      <c r="F57" s="137"/>
      <c r="G57" s="29">
        <f t="shared" ref="G57:K57" si="8">SUM(G34:G56)</f>
        <v>8784.9</v>
      </c>
      <c r="H57" s="29">
        <f>SUM(H34:H56)</f>
        <v>1219.1999999999998</v>
      </c>
      <c r="I57" s="29">
        <f t="shared" si="8"/>
        <v>746.99999999999977</v>
      </c>
      <c r="J57" s="29">
        <f t="shared" si="8"/>
        <v>0</v>
      </c>
      <c r="K57" s="116">
        <f t="shared" si="8"/>
        <v>0</v>
      </c>
      <c r="L57" s="79">
        <f>SUM(L34:L56)</f>
        <v>1966.1999999999998</v>
      </c>
    </row>
    <row r="58" spans="1:14" ht="30" customHeight="1" thickBot="1">
      <c r="A58" s="138" t="s">
        <v>55</v>
      </c>
      <c r="B58" s="139"/>
      <c r="C58" s="139"/>
      <c r="D58" s="139"/>
      <c r="E58" s="140"/>
      <c r="F58" s="95" t="s">
        <v>80</v>
      </c>
      <c r="G58" s="34">
        <f>G34+G37+G38+G39+G41+G42+G43+G45</f>
        <v>6419.9</v>
      </c>
      <c r="H58" s="34">
        <f t="shared" ref="H58:K58" si="9">H34+H37+H38+H39+H41+H42+H43+H45</f>
        <v>0</v>
      </c>
      <c r="I58" s="34">
        <f t="shared" si="9"/>
        <v>0</v>
      </c>
      <c r="J58" s="34">
        <f t="shared" si="9"/>
        <v>0</v>
      </c>
      <c r="K58" s="117">
        <f t="shared" si="9"/>
        <v>0</v>
      </c>
      <c r="L58" s="79">
        <f>L35+L38+L39+L43</f>
        <v>0</v>
      </c>
    </row>
    <row r="59" spans="1:14" ht="30" customHeight="1" thickBot="1">
      <c r="A59" s="141"/>
      <c r="B59" s="141"/>
      <c r="C59" s="141"/>
      <c r="D59" s="141"/>
      <c r="E59" s="141"/>
      <c r="F59" s="97" t="s">
        <v>42</v>
      </c>
      <c r="G59" s="79">
        <f>G35+G36+G40+G44+G46+G47+G48+G49+G50+G51+G52+G53+G54+G56</f>
        <v>2320</v>
      </c>
      <c r="H59" s="79">
        <f>H35+H36+H40+H44+H46+H47+H48+H49+H50+H51+H52+H53+H54+H56+H55</f>
        <v>1219.1999999999998</v>
      </c>
      <c r="I59" s="79">
        <f t="shared" ref="I59:K59" si="10">I35+I36+I40+I44+I46+I47+I48+I49+I50+I51+I52+I53+I54+I56</f>
        <v>746.99999999999977</v>
      </c>
      <c r="J59" s="79">
        <f t="shared" si="10"/>
        <v>0</v>
      </c>
      <c r="K59" s="118">
        <f t="shared" si="10"/>
        <v>0</v>
      </c>
      <c r="L59" s="79">
        <f>L34+L36+L37+L40+L41+L44+L56+L55+L49</f>
        <v>1966.1999999999998</v>
      </c>
    </row>
    <row r="60" spans="1:14" ht="30" customHeight="1" thickBot="1">
      <c r="A60" s="146" t="s">
        <v>67</v>
      </c>
      <c r="B60" s="147"/>
      <c r="C60" s="147"/>
      <c r="D60" s="147"/>
      <c r="E60" s="147"/>
      <c r="F60" s="148"/>
      <c r="G60" s="103">
        <f>G61+G62</f>
        <v>61145.1</v>
      </c>
      <c r="H60" s="103">
        <f t="shared" ref="H60:K60" si="11">H61+H62</f>
        <v>15671.6</v>
      </c>
      <c r="I60" s="103">
        <f>I61+I62</f>
        <v>15439.599999999999</v>
      </c>
      <c r="J60" s="103">
        <f t="shared" si="11"/>
        <v>0</v>
      </c>
      <c r="K60" s="119">
        <f t="shared" si="11"/>
        <v>0</v>
      </c>
      <c r="L60" s="123">
        <f>L61+L62</f>
        <v>31111.199999999997</v>
      </c>
    </row>
    <row r="61" spans="1:14" ht="30" customHeight="1" thickBot="1">
      <c r="A61" s="134" t="s">
        <v>55</v>
      </c>
      <c r="B61" s="135"/>
      <c r="C61" s="135"/>
      <c r="D61" s="135"/>
      <c r="E61" s="142"/>
      <c r="F61" s="16"/>
      <c r="G61" s="23">
        <f t="shared" ref="G61:L62" si="12">G58+G31</f>
        <v>14797.5</v>
      </c>
      <c r="H61" s="23">
        <f t="shared" si="12"/>
        <v>1858.4</v>
      </c>
      <c r="I61" s="23">
        <f>I58+I31</f>
        <v>2297.1999999999998</v>
      </c>
      <c r="J61" s="23">
        <f t="shared" si="12"/>
        <v>0</v>
      </c>
      <c r="K61" s="120">
        <f t="shared" si="12"/>
        <v>0</v>
      </c>
      <c r="L61" s="126">
        <f t="shared" si="12"/>
        <v>4155.6000000000004</v>
      </c>
    </row>
    <row r="62" spans="1:14" ht="30" customHeight="1" thickBot="1">
      <c r="A62" s="143"/>
      <c r="B62" s="144"/>
      <c r="C62" s="144"/>
      <c r="D62" s="144"/>
      <c r="E62" s="145"/>
      <c r="F62" s="16"/>
      <c r="G62" s="23">
        <f t="shared" si="12"/>
        <v>46347.6</v>
      </c>
      <c r="H62" s="23">
        <f t="shared" si="12"/>
        <v>13813.2</v>
      </c>
      <c r="I62" s="23">
        <f t="shared" si="12"/>
        <v>13142.399999999998</v>
      </c>
      <c r="J62" s="23">
        <f t="shared" si="12"/>
        <v>0</v>
      </c>
      <c r="K62" s="120">
        <f t="shared" si="12"/>
        <v>0</v>
      </c>
      <c r="L62" s="126">
        <f>L59+L32</f>
        <v>26955.599999999999</v>
      </c>
      <c r="M62" s="24">
        <f>H62+I62+J62+K62</f>
        <v>26955.599999999999</v>
      </c>
      <c r="N62" s="24">
        <f>M62-L62</f>
        <v>0</v>
      </c>
    </row>
    <row r="64" spans="1:14">
      <c r="H64" s="24"/>
      <c r="I64" s="24"/>
    </row>
    <row r="65" spans="8:11">
      <c r="H65" s="24"/>
    </row>
    <row r="66" spans="8:11">
      <c r="H66" s="24"/>
      <c r="I66" s="24"/>
    </row>
    <row r="67" spans="8:11">
      <c r="H67" s="24"/>
      <c r="I67" s="24"/>
      <c r="K67" s="24"/>
    </row>
    <row r="68" spans="8:11">
      <c r="H68" s="24"/>
      <c r="I68" s="24"/>
      <c r="J68" s="24"/>
    </row>
    <row r="71" spans="8:11">
      <c r="H71" s="24"/>
    </row>
  </sheetData>
  <mergeCells count="61">
    <mergeCell ref="A16:E16"/>
    <mergeCell ref="F16:J16"/>
    <mergeCell ref="B5:C5"/>
    <mergeCell ref="A1:A3"/>
    <mergeCell ref="B1:C3"/>
    <mergeCell ref="D1:D3"/>
    <mergeCell ref="E1:E3"/>
    <mergeCell ref="A4:E4"/>
    <mergeCell ref="B11:C11"/>
    <mergeCell ref="B12:C12"/>
    <mergeCell ref="A13:E13"/>
    <mergeCell ref="A14:E14"/>
    <mergeCell ref="A15:E15"/>
    <mergeCell ref="B6:C6"/>
    <mergeCell ref="B7:C7"/>
    <mergeCell ref="B8:C8"/>
    <mergeCell ref="B9:C9"/>
    <mergeCell ref="B10:C10"/>
    <mergeCell ref="A45:A46"/>
    <mergeCell ref="B45:B46"/>
    <mergeCell ref="C45:D46"/>
    <mergeCell ref="D17:D18"/>
    <mergeCell ref="D19:D20"/>
    <mergeCell ref="D22:D23"/>
    <mergeCell ref="D24:D25"/>
    <mergeCell ref="D26:D27"/>
    <mergeCell ref="A17:A29"/>
    <mergeCell ref="B17:C29"/>
    <mergeCell ref="A30:F30"/>
    <mergeCell ref="A32:D32"/>
    <mergeCell ref="E32:F32"/>
    <mergeCell ref="A31:D31"/>
    <mergeCell ref="E31:F31"/>
    <mergeCell ref="A33:A44"/>
    <mergeCell ref="C33:D33"/>
    <mergeCell ref="B34:B44"/>
    <mergeCell ref="C37:D37"/>
    <mergeCell ref="C38:D38"/>
    <mergeCell ref="C39:D40"/>
    <mergeCell ref="C41:D41"/>
    <mergeCell ref="C42:D42"/>
    <mergeCell ref="C43:D44"/>
    <mergeCell ref="C34:D34"/>
    <mergeCell ref="C35:D35"/>
    <mergeCell ref="C36:D36"/>
    <mergeCell ref="C47:D47"/>
    <mergeCell ref="C49:D49"/>
    <mergeCell ref="C50:D50"/>
    <mergeCell ref="C51:D51"/>
    <mergeCell ref="C52:D52"/>
    <mergeCell ref="C48:D48"/>
    <mergeCell ref="C53:D53"/>
    <mergeCell ref="C54:D54"/>
    <mergeCell ref="C55:D55"/>
    <mergeCell ref="C56:D56"/>
    <mergeCell ref="A57:F57"/>
    <mergeCell ref="A58:E58"/>
    <mergeCell ref="A59:E59"/>
    <mergeCell ref="A60:F60"/>
    <mergeCell ref="A61:E61"/>
    <mergeCell ref="A62:E62"/>
  </mergeCells>
  <pageMargins left="0" right="0" top="0" bottom="0" header="0.31496062992125984" footer="0.31496062992125984"/>
  <pageSetup paperSize="9" scale="50" fitToHeight="0" orientation="portrait" r:id="rId1"/>
  <colBreaks count="1" manualBreakCount="1">
    <brk id="4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zoomScaleNormal="100" workbookViewId="0">
      <selection activeCell="G5" sqref="G5"/>
    </sheetView>
  </sheetViews>
  <sheetFormatPr defaultRowHeight="15"/>
  <cols>
    <col min="2" max="2" width="17.5703125" customWidth="1"/>
    <col min="3" max="3" width="21.5703125" customWidth="1"/>
    <col min="4" max="4" width="24.85546875" customWidth="1"/>
    <col min="5" max="5" width="18.85546875" customWidth="1"/>
    <col min="6" max="6" width="17.140625" customWidth="1"/>
    <col min="7" max="7" width="15.28515625" customWidth="1"/>
    <col min="8" max="8" width="14.42578125" customWidth="1"/>
    <col min="9" max="9" width="15" hidden="1" customWidth="1"/>
    <col min="10" max="11" width="15.85546875" hidden="1" customWidth="1"/>
    <col min="12" max="12" width="10.5703125" hidden="1" customWidth="1"/>
    <col min="13" max="13" width="10.140625" hidden="1" customWidth="1"/>
  </cols>
  <sheetData>
    <row r="1" spans="1:14" ht="47.25" customHeight="1" thickBot="1">
      <c r="A1" s="127" t="s">
        <v>0</v>
      </c>
      <c r="B1" s="161" t="s">
        <v>1</v>
      </c>
      <c r="C1" s="162"/>
      <c r="D1" s="181" t="s">
        <v>2</v>
      </c>
      <c r="E1" s="127" t="s">
        <v>3</v>
      </c>
      <c r="F1" s="1" t="s">
        <v>4</v>
      </c>
      <c r="G1" s="17" t="s">
        <v>6</v>
      </c>
      <c r="H1" s="18"/>
      <c r="I1" s="18"/>
      <c r="J1" s="19"/>
      <c r="K1" s="19"/>
    </row>
    <row r="2" spans="1:14" ht="15.75" customHeight="1">
      <c r="A2" s="128"/>
      <c r="B2" s="163"/>
      <c r="C2" s="164"/>
      <c r="D2" s="182"/>
      <c r="E2" s="128"/>
      <c r="F2" s="2" t="s">
        <v>5</v>
      </c>
      <c r="G2" s="5">
        <v>2022</v>
      </c>
      <c r="H2" s="5" t="s">
        <v>68</v>
      </c>
      <c r="I2" s="5" t="s">
        <v>69</v>
      </c>
      <c r="J2" s="5" t="s">
        <v>70</v>
      </c>
      <c r="K2" s="5" t="s">
        <v>71</v>
      </c>
    </row>
    <row r="3" spans="1:14" ht="16.5" thickBot="1">
      <c r="A3" s="160"/>
      <c r="B3" s="165"/>
      <c r="C3" s="166"/>
      <c r="D3" s="183"/>
      <c r="E3" s="160"/>
      <c r="F3" s="3"/>
      <c r="G3" s="6" t="s">
        <v>7</v>
      </c>
      <c r="H3" s="6"/>
      <c r="I3" s="6"/>
      <c r="J3" s="6"/>
      <c r="K3" s="6"/>
    </row>
    <row r="4" spans="1:14" ht="16.5" customHeight="1" thickBot="1">
      <c r="A4" s="173" t="s">
        <v>8</v>
      </c>
      <c r="B4" s="174"/>
      <c r="C4" s="174"/>
      <c r="D4" s="174"/>
      <c r="E4" s="177"/>
      <c r="F4" s="4"/>
      <c r="G4" s="4"/>
      <c r="H4" s="4"/>
      <c r="I4" s="4"/>
      <c r="J4" s="4"/>
      <c r="K4" s="4"/>
    </row>
    <row r="5" spans="1:14" ht="30" customHeight="1" thickBot="1">
      <c r="A5" s="7" t="s">
        <v>9</v>
      </c>
      <c r="B5" s="179" t="s">
        <v>10</v>
      </c>
      <c r="C5" s="180"/>
      <c r="D5" s="8" t="s">
        <v>11</v>
      </c>
      <c r="E5" s="20">
        <v>2022</v>
      </c>
      <c r="F5" s="8" t="s">
        <v>80</v>
      </c>
      <c r="G5" s="21">
        <v>14797.516</v>
      </c>
      <c r="H5" s="9">
        <v>1858.4</v>
      </c>
      <c r="I5" s="9"/>
      <c r="J5" s="9"/>
      <c r="K5" s="9"/>
      <c r="L5">
        <v>3110.2</v>
      </c>
      <c r="M5">
        <v>6003.9</v>
      </c>
    </row>
    <row r="6" spans="1:14" ht="46.5" customHeight="1" thickBot="1">
      <c r="A6" s="30" t="s">
        <v>13</v>
      </c>
      <c r="B6" s="161" t="s">
        <v>78</v>
      </c>
      <c r="C6" s="162"/>
      <c r="D6" s="31" t="s">
        <v>15</v>
      </c>
      <c r="E6" s="36">
        <v>2022</v>
      </c>
      <c r="F6" s="31" t="s">
        <v>16</v>
      </c>
      <c r="G6" s="32">
        <v>32543.200000000001</v>
      </c>
      <c r="H6" s="32">
        <v>12429.5</v>
      </c>
      <c r="I6" s="32"/>
      <c r="J6" s="32"/>
      <c r="K6" s="9"/>
      <c r="L6">
        <v>12716.1</v>
      </c>
      <c r="M6">
        <v>19048.900000000001</v>
      </c>
    </row>
    <row r="7" spans="1:14" ht="30" customHeight="1" thickBot="1">
      <c r="A7" s="30" t="s">
        <v>17</v>
      </c>
      <c r="B7" s="161" t="s">
        <v>18</v>
      </c>
      <c r="C7" s="178"/>
      <c r="D7" s="37" t="s">
        <v>19</v>
      </c>
      <c r="E7" s="42">
        <v>2022</v>
      </c>
      <c r="F7" s="37" t="s">
        <v>16</v>
      </c>
      <c r="G7" s="40">
        <v>4185.8999999999996</v>
      </c>
      <c r="H7" s="40">
        <f>649.1</f>
        <v>649.1</v>
      </c>
      <c r="I7" s="40"/>
      <c r="J7" s="32"/>
      <c r="K7" s="9"/>
      <c r="L7">
        <f>271.1+2367.4</f>
        <v>2638.5</v>
      </c>
      <c r="M7">
        <f>445.8+3127.8</f>
        <v>3573.6000000000004</v>
      </c>
    </row>
    <row r="8" spans="1:14" ht="30" customHeight="1" thickBot="1">
      <c r="A8" s="11" t="s">
        <v>21</v>
      </c>
      <c r="B8" s="143" t="s">
        <v>22</v>
      </c>
      <c r="C8" s="144"/>
      <c r="D8" s="37" t="s">
        <v>23</v>
      </c>
      <c r="E8" s="42">
        <v>2022</v>
      </c>
      <c r="F8" s="37" t="s">
        <v>16</v>
      </c>
      <c r="G8" s="40">
        <v>1000</v>
      </c>
      <c r="H8" s="40">
        <f>1.5+4.2+62.9+5.5</f>
        <v>74.099999999999994</v>
      </c>
      <c r="I8" s="40"/>
      <c r="J8" s="32"/>
      <c r="K8" s="9"/>
      <c r="L8">
        <f>379.4+171.7+11.2</f>
        <v>562.29999999999995</v>
      </c>
      <c r="M8">
        <f>661.2+312+18.2</f>
        <v>991.40000000000009</v>
      </c>
    </row>
    <row r="9" spans="1:14" ht="30" customHeight="1" thickBot="1">
      <c r="A9" s="11" t="s">
        <v>25</v>
      </c>
      <c r="B9" s="143" t="s">
        <v>26</v>
      </c>
      <c r="C9" s="145"/>
      <c r="D9" s="10" t="s">
        <v>27</v>
      </c>
      <c r="E9" s="20">
        <v>2022</v>
      </c>
      <c r="F9" s="10" t="s">
        <v>16</v>
      </c>
      <c r="G9" s="21">
        <v>1142.9000000000001</v>
      </c>
      <c r="H9" s="21">
        <f>184.3+25.8+326.7</f>
        <v>536.79999999999995</v>
      </c>
      <c r="I9" s="21"/>
      <c r="J9" s="32"/>
      <c r="K9" s="9"/>
      <c r="L9">
        <f>25+421.5</f>
        <v>446.5</v>
      </c>
      <c r="M9">
        <f>52.7+754.8</f>
        <v>807.5</v>
      </c>
    </row>
    <row r="10" spans="1:14" ht="63.6" customHeight="1" thickBot="1">
      <c r="A10" s="11" t="s">
        <v>29</v>
      </c>
      <c r="B10" s="143" t="s">
        <v>30</v>
      </c>
      <c r="C10" s="145"/>
      <c r="D10" s="10" t="s">
        <v>31</v>
      </c>
      <c r="E10" s="20">
        <v>2022</v>
      </c>
      <c r="F10" s="10" t="s">
        <v>16</v>
      </c>
      <c r="G10" s="21">
        <v>2499.4</v>
      </c>
      <c r="H10" s="21">
        <v>172.8</v>
      </c>
      <c r="I10" s="21"/>
      <c r="J10" s="32"/>
      <c r="K10" s="9"/>
      <c r="L10">
        <f>942.6+0.5+33.2</f>
        <v>976.30000000000007</v>
      </c>
      <c r="M10">
        <f>1252.4+0.5+53.7</f>
        <v>1306.6000000000001</v>
      </c>
    </row>
    <row r="11" spans="1:14" ht="66" customHeight="1" thickBot="1">
      <c r="A11" s="11" t="s">
        <v>33</v>
      </c>
      <c r="B11" s="143" t="s">
        <v>34</v>
      </c>
      <c r="C11" s="145"/>
      <c r="D11" s="10" t="s">
        <v>79</v>
      </c>
      <c r="E11" s="20">
        <v>2022</v>
      </c>
      <c r="F11" s="10" t="s">
        <v>16</v>
      </c>
      <c r="G11" s="21">
        <v>340.2</v>
      </c>
      <c r="H11" s="9">
        <v>14.6</v>
      </c>
      <c r="I11" s="9"/>
      <c r="J11" s="32"/>
      <c r="K11" s="9"/>
      <c r="L11">
        <f>24.8</f>
        <v>24.8</v>
      </c>
      <c r="M11">
        <f>38.7</f>
        <v>38.700000000000003</v>
      </c>
    </row>
    <row r="12" spans="1:14" ht="30" customHeight="1" thickBot="1">
      <c r="A12" s="11" t="s">
        <v>36</v>
      </c>
      <c r="B12" s="143" t="s">
        <v>37</v>
      </c>
      <c r="C12" s="145"/>
      <c r="D12" s="10" t="s">
        <v>38</v>
      </c>
      <c r="E12" s="20">
        <v>2022</v>
      </c>
      <c r="F12" s="10" t="s">
        <v>16</v>
      </c>
      <c r="G12" s="21">
        <v>4681</v>
      </c>
      <c r="H12" s="21">
        <f>106.6+286.9+21+1.4+18.3+389.1+380.4</f>
        <v>1203.6999999999998</v>
      </c>
      <c r="I12" s="81"/>
      <c r="J12" s="40"/>
      <c r="K12" s="9"/>
      <c r="L12" s="9">
        <f>29.8+3+1.9+350.7+0.7+108.1+12.9+1289.5</f>
        <v>1796.6</v>
      </c>
      <c r="M12">
        <f>47.7+6+1.9+571.2+1.2+144.1+17+1800.4+1966</f>
        <v>4555.5</v>
      </c>
      <c r="N12" t="s">
        <v>99</v>
      </c>
    </row>
    <row r="13" spans="1:14" ht="30" customHeight="1" thickBot="1">
      <c r="A13" s="167" t="s">
        <v>40</v>
      </c>
      <c r="B13" s="168"/>
      <c r="C13" s="168"/>
      <c r="D13" s="168"/>
      <c r="E13" s="169"/>
      <c r="F13" s="10"/>
      <c r="G13" s="25">
        <f>SUM(G5:G12)</f>
        <v>61190.116000000002</v>
      </c>
      <c r="H13" s="25">
        <f>SUM(H5:H12)</f>
        <v>16939</v>
      </c>
      <c r="I13" s="25">
        <f>SUM(I5:I12)</f>
        <v>0</v>
      </c>
      <c r="J13" s="12">
        <f t="shared" ref="J13:M13" si="0">SUM(J5:J12)</f>
        <v>0</v>
      </c>
      <c r="K13" s="12">
        <f t="shared" si="0"/>
        <v>0</v>
      </c>
      <c r="L13" s="25">
        <f t="shared" si="0"/>
        <v>22271.299999999996</v>
      </c>
      <c r="M13" s="25">
        <f t="shared" si="0"/>
        <v>36326.100000000006</v>
      </c>
    </row>
    <row r="14" spans="1:14" ht="30" customHeight="1" thickBot="1">
      <c r="A14" s="134" t="s">
        <v>41</v>
      </c>
      <c r="B14" s="135"/>
      <c r="C14" s="135"/>
      <c r="D14" s="135"/>
      <c r="E14" s="142"/>
      <c r="F14" s="13" t="s">
        <v>12</v>
      </c>
      <c r="G14" s="25">
        <f>G5</f>
        <v>14797.516</v>
      </c>
      <c r="H14" s="12">
        <f>H5</f>
        <v>1858.4</v>
      </c>
      <c r="I14" s="25">
        <f>I5</f>
        <v>0</v>
      </c>
      <c r="J14" s="12">
        <f>J5</f>
        <v>0</v>
      </c>
      <c r="K14" s="12">
        <f>K5</f>
        <v>0</v>
      </c>
      <c r="L14" s="12">
        <f t="shared" ref="L14:M14" si="1">L5</f>
        <v>3110.2</v>
      </c>
      <c r="M14" s="12">
        <f t="shared" si="1"/>
        <v>6003.9</v>
      </c>
    </row>
    <row r="15" spans="1:14" ht="30" customHeight="1" thickBot="1">
      <c r="A15" s="170"/>
      <c r="B15" s="171"/>
      <c r="C15" s="171"/>
      <c r="D15" s="171"/>
      <c r="E15" s="172"/>
      <c r="F15" s="13" t="s">
        <v>42</v>
      </c>
      <c r="G15" s="25">
        <f>SUM(G6:G12)</f>
        <v>46392.6</v>
      </c>
      <c r="H15" s="25">
        <f>SUM(H6:H12)</f>
        <v>15080.599999999999</v>
      </c>
      <c r="I15" s="25">
        <f>SUM(I6:I12)</f>
        <v>0</v>
      </c>
      <c r="J15" s="12">
        <f t="shared" ref="J15:M15" si="2">SUM(J6:J12)</f>
        <v>0</v>
      </c>
      <c r="K15" s="12">
        <f t="shared" si="2"/>
        <v>0</v>
      </c>
      <c r="L15" s="25">
        <f t="shared" si="2"/>
        <v>19161.099999999999</v>
      </c>
      <c r="M15" s="25">
        <f t="shared" si="2"/>
        <v>30322.2</v>
      </c>
    </row>
    <row r="16" spans="1:14" ht="30" customHeight="1" thickBot="1">
      <c r="A16" s="173" t="s">
        <v>43</v>
      </c>
      <c r="B16" s="174"/>
      <c r="C16" s="174"/>
      <c r="D16" s="175"/>
      <c r="E16" s="176"/>
      <c r="F16" s="153"/>
      <c r="G16" s="154"/>
      <c r="H16" s="154"/>
      <c r="I16" s="154"/>
      <c r="J16" s="155"/>
    </row>
    <row r="17" spans="1:14" ht="30" customHeight="1" thickBot="1">
      <c r="A17" s="127" t="s">
        <v>44</v>
      </c>
      <c r="B17" s="161" t="s">
        <v>45</v>
      </c>
      <c r="C17" s="162"/>
      <c r="D17" s="141" t="s">
        <v>46</v>
      </c>
      <c r="E17" s="45">
        <v>2022</v>
      </c>
      <c r="F17" s="64" t="s">
        <v>80</v>
      </c>
      <c r="G17" s="53">
        <v>198.1</v>
      </c>
      <c r="H17" s="54"/>
      <c r="I17" s="54"/>
      <c r="J17" s="54"/>
      <c r="K17" s="54"/>
    </row>
    <row r="18" spans="1:14" ht="35.25" customHeight="1" thickBot="1">
      <c r="A18" s="128"/>
      <c r="B18" s="163"/>
      <c r="C18" s="164"/>
      <c r="D18" s="141"/>
      <c r="E18" s="45">
        <v>2022</v>
      </c>
      <c r="F18" s="64" t="s">
        <v>42</v>
      </c>
      <c r="G18" s="53">
        <v>2248.5</v>
      </c>
      <c r="H18" s="53">
        <f>465+18.3</f>
        <v>483.3</v>
      </c>
      <c r="I18" s="73"/>
      <c r="J18" s="53"/>
      <c r="K18" s="73"/>
      <c r="L18">
        <v>917.4</v>
      </c>
      <c r="M18">
        <f>1454.3</f>
        <v>1454.3</v>
      </c>
      <c r="N18" t="s">
        <v>100</v>
      </c>
    </row>
    <row r="19" spans="1:14" ht="30" customHeight="1" thickBot="1">
      <c r="A19" s="128"/>
      <c r="B19" s="163"/>
      <c r="C19" s="164"/>
      <c r="D19" s="141" t="s">
        <v>47</v>
      </c>
      <c r="E19" s="45">
        <v>2022</v>
      </c>
      <c r="F19" s="64" t="s">
        <v>80</v>
      </c>
      <c r="G19" s="55">
        <v>727.7</v>
      </c>
      <c r="H19" s="55">
        <v>105.9</v>
      </c>
      <c r="I19" s="74"/>
      <c r="J19" s="53"/>
      <c r="K19" s="73"/>
      <c r="L19" s="24">
        <f>451849.4/1000</f>
        <v>451.8494</v>
      </c>
      <c r="M19">
        <v>765.7</v>
      </c>
    </row>
    <row r="20" spans="1:14" ht="34.5" customHeight="1" thickBot="1">
      <c r="A20" s="128"/>
      <c r="B20" s="163"/>
      <c r="C20" s="164"/>
      <c r="D20" s="141"/>
      <c r="E20" s="45">
        <v>2022</v>
      </c>
      <c r="F20" s="64" t="s">
        <v>42</v>
      </c>
      <c r="G20" s="55">
        <v>9266.7000000000007</v>
      </c>
      <c r="H20" s="56">
        <f>2025.8+389.1</f>
        <v>2414.9</v>
      </c>
      <c r="I20" s="74"/>
      <c r="J20" s="53"/>
      <c r="K20" s="73"/>
      <c r="L20">
        <f>3619.8</f>
        <v>3619.8</v>
      </c>
      <c r="M20">
        <f>4775.4+1966</f>
        <v>6741.4</v>
      </c>
      <c r="N20" t="s">
        <v>101</v>
      </c>
    </row>
    <row r="21" spans="1:14" ht="39" customHeight="1" thickBot="1">
      <c r="A21" s="128"/>
      <c r="B21" s="163"/>
      <c r="C21" s="164"/>
      <c r="D21" s="65" t="s">
        <v>48</v>
      </c>
      <c r="E21" s="45">
        <v>2022</v>
      </c>
      <c r="F21" s="64" t="s">
        <v>42</v>
      </c>
      <c r="G21" s="53">
        <v>765.2</v>
      </c>
      <c r="H21" s="54">
        <v>168.4</v>
      </c>
      <c r="I21" s="54"/>
      <c r="J21" s="53"/>
      <c r="K21" s="73"/>
      <c r="L21">
        <v>298.89999999999998</v>
      </c>
      <c r="M21">
        <v>427</v>
      </c>
    </row>
    <row r="22" spans="1:14" ht="30" customHeight="1" thickBot="1">
      <c r="A22" s="128"/>
      <c r="B22" s="163"/>
      <c r="C22" s="164"/>
      <c r="D22" s="141" t="s">
        <v>49</v>
      </c>
      <c r="E22" s="45">
        <v>2022</v>
      </c>
      <c r="F22" s="64" t="s">
        <v>80</v>
      </c>
      <c r="G22" s="55">
        <v>653.79999999999995</v>
      </c>
      <c r="H22" s="55">
        <v>28.7</v>
      </c>
      <c r="I22" s="55"/>
      <c r="J22" s="53"/>
      <c r="K22" s="73"/>
      <c r="L22">
        <v>127.2</v>
      </c>
      <c r="M22">
        <v>160.30000000000001</v>
      </c>
    </row>
    <row r="23" spans="1:14" ht="30" customHeight="1" thickBot="1">
      <c r="A23" s="128"/>
      <c r="B23" s="163"/>
      <c r="C23" s="164"/>
      <c r="D23" s="141"/>
      <c r="E23" s="45">
        <v>2022</v>
      </c>
      <c r="F23" s="64" t="s">
        <v>42</v>
      </c>
      <c r="G23" s="53">
        <v>1116.3</v>
      </c>
      <c r="H23" s="54">
        <f>409.2-3</f>
        <v>406.2</v>
      </c>
      <c r="I23" s="54"/>
      <c r="J23" s="53"/>
      <c r="K23" s="73"/>
      <c r="L23">
        <f>436.1-6.7</f>
        <v>429.40000000000003</v>
      </c>
      <c r="M23">
        <v>723.6</v>
      </c>
    </row>
    <row r="24" spans="1:14" ht="30" customHeight="1" thickBot="1">
      <c r="A24" s="128"/>
      <c r="B24" s="163"/>
      <c r="C24" s="164"/>
      <c r="D24" s="141" t="s">
        <v>50</v>
      </c>
      <c r="E24" s="45">
        <v>2022</v>
      </c>
      <c r="F24" s="64" t="s">
        <v>80</v>
      </c>
      <c r="G24" s="53">
        <v>2418</v>
      </c>
      <c r="H24" s="55">
        <f>558.8+30+164</f>
        <v>752.8</v>
      </c>
      <c r="I24" s="75"/>
      <c r="J24" s="53"/>
      <c r="K24" s="73"/>
      <c r="L24">
        <f>(395+68+202.2)</f>
        <v>665.2</v>
      </c>
      <c r="M24">
        <f>828.2+84+261.3</f>
        <v>1173.5</v>
      </c>
    </row>
    <row r="25" spans="1:14" ht="37.5" customHeight="1" thickBot="1">
      <c r="A25" s="128"/>
      <c r="B25" s="163"/>
      <c r="C25" s="164"/>
      <c r="D25" s="141"/>
      <c r="E25" s="45">
        <v>2022</v>
      </c>
      <c r="F25" s="64" t="s">
        <v>42</v>
      </c>
      <c r="G25" s="53">
        <v>188.8</v>
      </c>
      <c r="H25" s="53">
        <f>9.6+59.6</f>
        <v>69.2</v>
      </c>
      <c r="I25" s="53"/>
      <c r="J25" s="53"/>
      <c r="K25" s="73"/>
      <c r="L25">
        <f>5.4+13.4</f>
        <v>18.8</v>
      </c>
      <c r="M25">
        <f>75.5-12.8</f>
        <v>62.7</v>
      </c>
    </row>
    <row r="26" spans="1:14" ht="30" customHeight="1" thickBot="1">
      <c r="A26" s="128"/>
      <c r="B26" s="163"/>
      <c r="C26" s="164"/>
      <c r="D26" s="141" t="s">
        <v>51</v>
      </c>
      <c r="E26" s="45">
        <v>2022</v>
      </c>
      <c r="F26" s="64" t="s">
        <v>80</v>
      </c>
      <c r="G26" s="55">
        <v>4380</v>
      </c>
      <c r="H26" s="55">
        <f>796.2+174.8</f>
        <v>971</v>
      </c>
      <c r="I26" s="74"/>
      <c r="J26" s="53"/>
      <c r="K26" s="73"/>
      <c r="L26">
        <f>1530.9+335.1</f>
        <v>1866</v>
      </c>
      <c r="M26">
        <f>2546.7+557.7</f>
        <v>3104.3999999999996</v>
      </c>
    </row>
    <row r="27" spans="1:14" ht="39.75" customHeight="1" thickBot="1">
      <c r="A27" s="128"/>
      <c r="B27" s="163"/>
      <c r="C27" s="164"/>
      <c r="D27" s="141"/>
      <c r="E27" s="45">
        <v>2022</v>
      </c>
      <c r="F27" s="64" t="s">
        <v>42</v>
      </c>
      <c r="G27" s="55">
        <v>30004.6</v>
      </c>
      <c r="H27" s="76">
        <f>7360.7+1644.8</f>
        <v>9005.5</v>
      </c>
      <c r="I27" s="76"/>
      <c r="J27" s="53"/>
      <c r="K27" s="73"/>
      <c r="L27">
        <f>11160.4+2468.7+0.5</f>
        <v>13629.599999999999</v>
      </c>
      <c r="M27">
        <f>16317.3+3621.4+1.8</f>
        <v>19940.5</v>
      </c>
    </row>
    <row r="28" spans="1:14" ht="48" customHeight="1" thickBot="1">
      <c r="A28" s="128"/>
      <c r="B28" s="163"/>
      <c r="C28" s="164"/>
      <c r="D28" s="82" t="s">
        <v>52</v>
      </c>
      <c r="E28" s="45">
        <v>2022</v>
      </c>
      <c r="F28" s="64" t="s">
        <v>42</v>
      </c>
      <c r="G28" s="46">
        <v>150</v>
      </c>
      <c r="H28" s="49">
        <f>0.4+3</f>
        <v>3.4</v>
      </c>
      <c r="I28" s="49"/>
      <c r="J28" s="53"/>
      <c r="K28" s="73"/>
      <c r="L28">
        <v>6.7</v>
      </c>
      <c r="M28">
        <v>12.8</v>
      </c>
      <c r="N28" t="s">
        <v>102</v>
      </c>
    </row>
    <row r="29" spans="1:14" ht="30" customHeight="1" thickBot="1">
      <c r="A29" s="160"/>
      <c r="B29" s="165"/>
      <c r="C29" s="166"/>
      <c r="D29" s="65" t="s">
        <v>53</v>
      </c>
      <c r="E29" s="45">
        <v>2022</v>
      </c>
      <c r="F29" s="64" t="s">
        <v>42</v>
      </c>
      <c r="G29" s="53">
        <v>287.3</v>
      </c>
      <c r="H29" s="54">
        <v>43.1</v>
      </c>
      <c r="I29" s="54"/>
      <c r="J29" s="53"/>
      <c r="K29" s="73"/>
      <c r="L29">
        <v>112.2</v>
      </c>
      <c r="M29">
        <v>280.5</v>
      </c>
    </row>
    <row r="30" spans="1:14" ht="30" customHeight="1" thickBot="1">
      <c r="A30" s="134" t="s">
        <v>54</v>
      </c>
      <c r="B30" s="135"/>
      <c r="C30" s="135"/>
      <c r="D30" s="135"/>
      <c r="E30" s="135"/>
      <c r="F30" s="142"/>
      <c r="G30" s="28">
        <f t="shared" ref="G30:M30" si="3">SUM(G17:G29)</f>
        <v>52405</v>
      </c>
      <c r="H30" s="28">
        <f t="shared" si="3"/>
        <v>14452.4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8">
        <f t="shared" si="3"/>
        <v>22143.0494</v>
      </c>
      <c r="M30" s="28">
        <f t="shared" si="3"/>
        <v>34846.700000000004</v>
      </c>
    </row>
    <row r="31" spans="1:14" ht="30" customHeight="1" thickBot="1">
      <c r="A31" s="156" t="s">
        <v>55</v>
      </c>
      <c r="B31" s="157"/>
      <c r="C31" s="157"/>
      <c r="D31" s="158"/>
      <c r="E31" s="149" t="s">
        <v>80</v>
      </c>
      <c r="F31" s="159"/>
      <c r="G31" s="28">
        <f>G17+G19+G22+G24+G26</f>
        <v>8377.6</v>
      </c>
      <c r="H31" s="28">
        <f>H17+H19+H22+H24+H26</f>
        <v>1858.4</v>
      </c>
      <c r="I31" s="28">
        <f t="shared" ref="I31:K31" si="4">I17+I19+I22+I24+I26</f>
        <v>0</v>
      </c>
      <c r="J31" s="28">
        <f t="shared" si="4"/>
        <v>0</v>
      </c>
      <c r="K31" s="28">
        <f t="shared" si="4"/>
        <v>0</v>
      </c>
      <c r="L31" s="28" t="e">
        <f>L17+L19+L22+L24+L26+#REF!</f>
        <v>#REF!</v>
      </c>
      <c r="M31" s="28" t="e">
        <f>M17+M19+M22+M24+M26+#REF!</f>
        <v>#REF!</v>
      </c>
    </row>
    <row r="32" spans="1:14" ht="30" customHeight="1" thickBot="1">
      <c r="A32" s="143"/>
      <c r="B32" s="144"/>
      <c r="C32" s="144"/>
      <c r="D32" s="145"/>
      <c r="E32" s="149" t="s">
        <v>42</v>
      </c>
      <c r="F32" s="150"/>
      <c r="G32" s="28">
        <f>G18+G20+G21+G23+G25+G27+G28+G29+0.2</f>
        <v>44027.6</v>
      </c>
      <c r="H32" s="28">
        <f t="shared" ref="H32:M32" si="5">H18+H20+H21+H23+H25+H27+H28+H29</f>
        <v>12594</v>
      </c>
      <c r="I32" s="28">
        <f t="shared" si="5"/>
        <v>0</v>
      </c>
      <c r="J32" s="28">
        <f t="shared" si="5"/>
        <v>0</v>
      </c>
      <c r="K32" s="28">
        <f t="shared" si="5"/>
        <v>0</v>
      </c>
      <c r="L32" s="28">
        <f t="shared" si="5"/>
        <v>19032.8</v>
      </c>
      <c r="M32" s="28">
        <f t="shared" si="5"/>
        <v>29642.799999999999</v>
      </c>
    </row>
    <row r="33" spans="1:14" ht="30" customHeight="1" thickBot="1">
      <c r="A33" s="127" t="s">
        <v>13</v>
      </c>
      <c r="B33" s="4" t="s">
        <v>56</v>
      </c>
      <c r="C33" s="151"/>
      <c r="D33" s="151"/>
      <c r="E33" s="64"/>
      <c r="F33" s="64"/>
      <c r="G33" s="77"/>
      <c r="H33" s="77"/>
      <c r="I33" s="77"/>
      <c r="J33" s="77"/>
      <c r="K33" s="77"/>
    </row>
    <row r="34" spans="1:14" ht="31.5" customHeight="1" thickBot="1">
      <c r="A34" s="128"/>
      <c r="B34" s="127" t="s">
        <v>41</v>
      </c>
      <c r="C34" s="151" t="s">
        <v>81</v>
      </c>
      <c r="D34" s="151"/>
      <c r="E34" s="86">
        <v>2022</v>
      </c>
      <c r="F34" s="87" t="s">
        <v>80</v>
      </c>
      <c r="G34" s="46">
        <v>670</v>
      </c>
      <c r="H34" s="49"/>
      <c r="I34" s="49"/>
      <c r="J34" s="49"/>
      <c r="K34" s="49"/>
    </row>
    <row r="35" spans="1:14" ht="65.45" customHeight="1" thickBot="1">
      <c r="A35" s="128"/>
      <c r="B35" s="128"/>
      <c r="C35" s="132" t="s">
        <v>96</v>
      </c>
      <c r="D35" s="132"/>
      <c r="E35" s="86">
        <v>2022</v>
      </c>
      <c r="F35" s="87" t="s">
        <v>42</v>
      </c>
      <c r="G35" s="46">
        <v>210</v>
      </c>
      <c r="H35" s="49"/>
      <c r="I35" s="49"/>
      <c r="J35" s="49"/>
      <c r="K35" s="49"/>
    </row>
    <row r="36" spans="1:14" ht="53.45" customHeight="1" thickBot="1">
      <c r="A36" s="128"/>
      <c r="B36" s="128"/>
      <c r="C36" s="151" t="s">
        <v>97</v>
      </c>
      <c r="D36" s="151"/>
      <c r="E36" s="86">
        <v>2022</v>
      </c>
      <c r="F36" s="87" t="s">
        <v>42</v>
      </c>
      <c r="G36" s="46">
        <v>20</v>
      </c>
      <c r="H36" s="49"/>
      <c r="I36" s="49"/>
      <c r="J36" s="49"/>
      <c r="K36" s="49"/>
    </row>
    <row r="37" spans="1:14" ht="35.1" customHeight="1" thickBot="1">
      <c r="A37" s="128"/>
      <c r="B37" s="128"/>
      <c r="C37" s="151" t="s">
        <v>82</v>
      </c>
      <c r="D37" s="151"/>
      <c r="E37" s="86">
        <v>2022</v>
      </c>
      <c r="F37" s="87" t="s">
        <v>80</v>
      </c>
      <c r="G37" s="46">
        <v>500</v>
      </c>
      <c r="H37" s="94"/>
      <c r="I37" s="49"/>
      <c r="J37" s="78"/>
      <c r="K37" s="49"/>
    </row>
    <row r="38" spans="1:14" ht="30" customHeight="1" thickBot="1">
      <c r="A38" s="128"/>
      <c r="B38" s="128"/>
      <c r="C38" s="151" t="s">
        <v>83</v>
      </c>
      <c r="D38" s="151"/>
      <c r="E38" s="86">
        <v>2022</v>
      </c>
      <c r="F38" s="87" t="s">
        <v>80</v>
      </c>
      <c r="G38" s="46">
        <v>3000</v>
      </c>
      <c r="H38" s="49"/>
      <c r="I38" s="49"/>
      <c r="J38" s="49"/>
      <c r="K38" s="49"/>
    </row>
    <row r="39" spans="1:14" ht="18.600000000000001" customHeight="1" thickBot="1">
      <c r="A39" s="128"/>
      <c r="B39" s="128"/>
      <c r="C39" s="132" t="s">
        <v>84</v>
      </c>
      <c r="D39" s="132"/>
      <c r="E39" s="86">
        <v>2022</v>
      </c>
      <c r="F39" s="87" t="s">
        <v>80</v>
      </c>
      <c r="G39" s="55">
        <v>120</v>
      </c>
      <c r="H39" s="56"/>
      <c r="I39" s="56"/>
      <c r="J39" s="56"/>
      <c r="K39" s="49"/>
    </row>
    <row r="40" spans="1:14" ht="15.6" customHeight="1" thickBot="1">
      <c r="A40" s="128"/>
      <c r="B40" s="128"/>
      <c r="C40" s="132"/>
      <c r="D40" s="132"/>
      <c r="E40" s="86">
        <v>2022</v>
      </c>
      <c r="F40" s="87" t="s">
        <v>42</v>
      </c>
      <c r="G40" s="55">
        <v>200</v>
      </c>
      <c r="H40" s="56"/>
      <c r="I40" s="56"/>
      <c r="J40" s="56"/>
      <c r="K40" s="49"/>
      <c r="L40">
        <f>384.4</f>
        <v>384.4</v>
      </c>
      <c r="M40">
        <f>495.1</f>
        <v>495.1</v>
      </c>
      <c r="N40">
        <v>1369.7</v>
      </c>
    </row>
    <row r="41" spans="1:14" ht="61.5" customHeight="1" thickBot="1">
      <c r="A41" s="128"/>
      <c r="B41" s="128"/>
      <c r="C41" s="152" t="s">
        <v>95</v>
      </c>
      <c r="D41" s="152"/>
      <c r="E41" s="86">
        <v>2022</v>
      </c>
      <c r="F41" s="87" t="s">
        <v>80</v>
      </c>
      <c r="G41" s="57">
        <v>58.9</v>
      </c>
      <c r="H41" s="58"/>
      <c r="I41" s="58"/>
      <c r="J41" s="49"/>
      <c r="K41" s="49"/>
    </row>
    <row r="42" spans="1:14" ht="22.5" customHeight="1" thickBot="1">
      <c r="A42" s="128"/>
      <c r="B42" s="128"/>
      <c r="C42" s="152" t="s">
        <v>85</v>
      </c>
      <c r="D42" s="152"/>
      <c r="E42" s="86">
        <v>2022</v>
      </c>
      <c r="F42" s="87" t="s">
        <v>80</v>
      </c>
      <c r="G42" s="57">
        <v>800</v>
      </c>
      <c r="H42" s="58"/>
      <c r="I42" s="58"/>
      <c r="J42" s="49"/>
      <c r="K42" s="49"/>
    </row>
    <row r="43" spans="1:14" ht="30" customHeight="1" thickBot="1">
      <c r="A43" s="128"/>
      <c r="B43" s="128"/>
      <c r="C43" s="132" t="s">
        <v>86</v>
      </c>
      <c r="D43" s="132"/>
      <c r="E43" s="86">
        <v>2022</v>
      </c>
      <c r="F43" s="87" t="s">
        <v>80</v>
      </c>
      <c r="G43" s="46">
        <v>71</v>
      </c>
      <c r="H43" s="49"/>
      <c r="I43" s="49"/>
      <c r="J43" s="49"/>
      <c r="K43" s="49"/>
    </row>
    <row r="44" spans="1:14" ht="36.950000000000003" customHeight="1" thickBot="1">
      <c r="A44" s="128"/>
      <c r="B44" s="128"/>
      <c r="C44" s="132"/>
      <c r="D44" s="132"/>
      <c r="E44" s="86">
        <v>2022</v>
      </c>
      <c r="F44" s="87" t="s">
        <v>42</v>
      </c>
      <c r="G44" s="46">
        <v>20</v>
      </c>
      <c r="H44" s="49"/>
      <c r="I44" s="49"/>
      <c r="J44" s="49"/>
      <c r="K44" s="49"/>
    </row>
    <row r="45" spans="1:14" ht="23.45" customHeight="1" thickBot="1">
      <c r="A45" s="127"/>
      <c r="B45" s="127"/>
      <c r="C45" s="129" t="s">
        <v>62</v>
      </c>
      <c r="D45" s="129"/>
      <c r="E45" s="86">
        <v>2022</v>
      </c>
      <c r="F45" s="87" t="s">
        <v>12</v>
      </c>
      <c r="G45" s="46">
        <v>1200</v>
      </c>
      <c r="H45" s="46"/>
      <c r="I45" s="46"/>
      <c r="J45" s="49"/>
      <c r="K45" s="49"/>
      <c r="L45">
        <v>800</v>
      </c>
      <c r="M45">
        <v>800</v>
      </c>
      <c r="N45">
        <v>800</v>
      </c>
    </row>
    <row r="46" spans="1:14" ht="27.95" customHeight="1" thickBot="1">
      <c r="A46" s="128"/>
      <c r="B46" s="128"/>
      <c r="C46" s="129"/>
      <c r="D46" s="129"/>
      <c r="E46" s="86">
        <v>2022</v>
      </c>
      <c r="F46" s="87" t="s">
        <v>42</v>
      </c>
      <c r="G46" s="46">
        <v>300</v>
      </c>
      <c r="H46" s="46"/>
      <c r="I46" s="49"/>
      <c r="J46" s="49"/>
      <c r="K46" s="49"/>
    </row>
    <row r="47" spans="1:14" ht="47.45" customHeight="1" thickBot="1">
      <c r="A47" s="84"/>
      <c r="B47" s="84"/>
      <c r="C47" s="130" t="s">
        <v>87</v>
      </c>
      <c r="D47" s="131"/>
      <c r="E47" s="86">
        <v>2022</v>
      </c>
      <c r="F47" s="87" t="s">
        <v>42</v>
      </c>
      <c r="G47" s="46">
        <v>300</v>
      </c>
      <c r="H47" s="46"/>
      <c r="I47" s="49"/>
      <c r="J47" s="49"/>
      <c r="K47" s="49"/>
    </row>
    <row r="48" spans="1:14" s="91" customFormat="1" ht="30" customHeight="1" thickBot="1">
      <c r="A48" s="88"/>
      <c r="B48" s="88"/>
      <c r="C48" s="133" t="s">
        <v>63</v>
      </c>
      <c r="D48" s="133"/>
      <c r="E48" s="93">
        <v>2022</v>
      </c>
      <c r="F48" s="92" t="s">
        <v>16</v>
      </c>
      <c r="G48" s="89">
        <v>300</v>
      </c>
      <c r="H48" s="89"/>
      <c r="I48" s="90"/>
      <c r="J48" s="90"/>
      <c r="K48" s="90"/>
    </row>
    <row r="49" spans="1:14" ht="47.45" customHeight="1" thickBot="1">
      <c r="A49" s="83"/>
      <c r="B49" s="83"/>
      <c r="C49" s="132" t="s">
        <v>88</v>
      </c>
      <c r="D49" s="132"/>
      <c r="E49" s="86">
        <v>2022</v>
      </c>
      <c r="F49" s="87" t="s">
        <v>16</v>
      </c>
      <c r="G49" s="46">
        <v>300</v>
      </c>
      <c r="H49" s="46">
        <f>338.8-23.6</f>
        <v>315.2</v>
      </c>
      <c r="I49" s="49"/>
      <c r="J49" s="49"/>
      <c r="K49" s="49"/>
    </row>
    <row r="50" spans="1:14" ht="30" customHeight="1" thickBot="1">
      <c r="A50" s="83"/>
      <c r="B50" s="83"/>
      <c r="C50" s="132" t="s">
        <v>89</v>
      </c>
      <c r="D50" s="132"/>
      <c r="E50" s="86">
        <v>2022</v>
      </c>
      <c r="F50" s="87" t="s">
        <v>16</v>
      </c>
      <c r="G50" s="46">
        <v>450</v>
      </c>
      <c r="H50" s="46"/>
      <c r="I50" s="49"/>
      <c r="J50" s="49"/>
      <c r="K50" s="49"/>
    </row>
    <row r="51" spans="1:14" ht="15.95" customHeight="1" thickBot="1">
      <c r="A51" s="83"/>
      <c r="B51" s="83"/>
      <c r="C51" s="132" t="s">
        <v>90</v>
      </c>
      <c r="D51" s="132"/>
      <c r="E51" s="86">
        <v>2022</v>
      </c>
      <c r="F51" s="87" t="s">
        <v>16</v>
      </c>
      <c r="G51" s="46">
        <v>50</v>
      </c>
      <c r="H51" s="46"/>
      <c r="I51" s="49"/>
      <c r="J51" s="49"/>
      <c r="K51" s="49"/>
    </row>
    <row r="52" spans="1:14" ht="17.45" customHeight="1" thickBot="1">
      <c r="A52" s="83"/>
      <c r="B52" s="83"/>
      <c r="C52" s="132" t="s">
        <v>91</v>
      </c>
      <c r="D52" s="132"/>
      <c r="E52" s="86">
        <v>2022</v>
      </c>
      <c r="F52" s="87" t="s">
        <v>16</v>
      </c>
      <c r="G52" s="46">
        <v>80</v>
      </c>
      <c r="H52" s="46"/>
      <c r="I52" s="49"/>
      <c r="J52" s="49"/>
      <c r="K52" s="49"/>
    </row>
    <row r="53" spans="1:14" ht="30" customHeight="1" thickBot="1">
      <c r="A53" s="83"/>
      <c r="B53" s="83"/>
      <c r="C53" s="132" t="s">
        <v>92</v>
      </c>
      <c r="D53" s="132"/>
      <c r="E53" s="86">
        <v>2022</v>
      </c>
      <c r="F53" s="87" t="s">
        <v>16</v>
      </c>
      <c r="G53" s="46">
        <v>60</v>
      </c>
      <c r="H53" s="46"/>
      <c r="I53" s="49"/>
      <c r="J53" s="49"/>
      <c r="K53" s="49"/>
    </row>
    <row r="54" spans="1:14" ht="20.100000000000001" customHeight="1" thickBot="1">
      <c r="A54" s="83"/>
      <c r="B54" s="83"/>
      <c r="C54" s="132" t="s">
        <v>93</v>
      </c>
      <c r="D54" s="132"/>
      <c r="E54" s="86">
        <v>2022</v>
      </c>
      <c r="F54" s="87" t="s">
        <v>16</v>
      </c>
      <c r="G54" s="46">
        <v>30</v>
      </c>
      <c r="H54" s="46"/>
      <c r="I54" s="49"/>
      <c r="J54" s="49"/>
      <c r="K54" s="49"/>
    </row>
    <row r="55" spans="1:14" ht="24.95" customHeight="1" thickBot="1">
      <c r="A55" s="83"/>
      <c r="B55" s="83"/>
      <c r="C55" s="132" t="s">
        <v>94</v>
      </c>
      <c r="D55" s="132"/>
      <c r="E55" s="86">
        <v>2022</v>
      </c>
      <c r="F55" s="87" t="s">
        <v>16</v>
      </c>
      <c r="G55" s="46">
        <v>45</v>
      </c>
      <c r="H55" s="46">
        <v>380.4</v>
      </c>
      <c r="I55" s="49"/>
      <c r="J55" s="49"/>
      <c r="K55" s="49"/>
    </row>
    <row r="56" spans="1:14" ht="24.95" customHeight="1" thickBot="1">
      <c r="A56" s="30"/>
      <c r="B56" s="30"/>
      <c r="C56" s="132" t="s">
        <v>98</v>
      </c>
      <c r="D56" s="132"/>
      <c r="E56" s="86">
        <v>2022</v>
      </c>
      <c r="F56" s="87" t="s">
        <v>16</v>
      </c>
      <c r="G56" s="46"/>
      <c r="H56" s="46">
        <v>523.6</v>
      </c>
      <c r="I56" s="49"/>
      <c r="J56" s="49"/>
      <c r="K56" s="49"/>
    </row>
    <row r="57" spans="1:14" ht="30" customHeight="1" thickBot="1">
      <c r="A57" s="134" t="s">
        <v>66</v>
      </c>
      <c r="B57" s="135"/>
      <c r="C57" s="136"/>
      <c r="D57" s="136"/>
      <c r="E57" s="136"/>
      <c r="F57" s="137"/>
      <c r="G57" s="29">
        <f t="shared" ref="G57:M57" si="6">SUM(G34:G56)</f>
        <v>8784.9</v>
      </c>
      <c r="H57" s="29">
        <f t="shared" si="6"/>
        <v>1219.1999999999998</v>
      </c>
      <c r="I57" s="29">
        <f t="shared" si="6"/>
        <v>0</v>
      </c>
      <c r="J57" s="29">
        <f t="shared" si="6"/>
        <v>0</v>
      </c>
      <c r="K57" s="29">
        <f t="shared" si="6"/>
        <v>0</v>
      </c>
      <c r="L57" s="29">
        <f t="shared" si="6"/>
        <v>1184.4000000000001</v>
      </c>
      <c r="M57" s="29">
        <f t="shared" si="6"/>
        <v>1295.0999999999999</v>
      </c>
    </row>
    <row r="58" spans="1:14" ht="30" customHeight="1" thickBot="1">
      <c r="A58" s="138" t="s">
        <v>55</v>
      </c>
      <c r="B58" s="139"/>
      <c r="C58" s="139"/>
      <c r="D58" s="139"/>
      <c r="E58" s="140"/>
      <c r="F58" s="35" t="s">
        <v>80</v>
      </c>
      <c r="G58" s="34">
        <f>G34+G37+G38+G39+G41+G42+G43+G45</f>
        <v>6419.9</v>
      </c>
      <c r="H58" s="34">
        <f t="shared" ref="H58:K58" si="7">H34+H37+H38+H39+H41+H42+H43+H45</f>
        <v>0</v>
      </c>
      <c r="I58" s="34">
        <f t="shared" si="7"/>
        <v>0</v>
      </c>
      <c r="J58" s="34">
        <f t="shared" si="7"/>
        <v>0</v>
      </c>
      <c r="K58" s="34">
        <f t="shared" si="7"/>
        <v>0</v>
      </c>
      <c r="L58" s="34" t="e">
        <f>L35+#REF!+L38+L39+L43+#REF!</f>
        <v>#REF!</v>
      </c>
      <c r="M58" s="34" t="e">
        <f>M35+#REF!+M38+M39+M43+#REF!</f>
        <v>#REF!</v>
      </c>
    </row>
    <row r="59" spans="1:14" ht="30" customHeight="1" thickBot="1">
      <c r="A59" s="141"/>
      <c r="B59" s="141"/>
      <c r="C59" s="141"/>
      <c r="D59" s="141"/>
      <c r="E59" s="141"/>
      <c r="F59" s="65" t="s">
        <v>42</v>
      </c>
      <c r="G59" s="79">
        <f>G35+G36+G40+G44+G46+G47+G48+G49+G50+G51+G52+G53+G54+G56</f>
        <v>2320</v>
      </c>
      <c r="H59" s="79">
        <f>H35+H36+H40+H44+H46+H47+H48+H49+H50+H51+H52+H53+H54+H56</f>
        <v>838.8</v>
      </c>
      <c r="I59" s="79">
        <f t="shared" ref="I59:K59" si="8">I35+I36+I40+I44+I46+I47+I48+I49+I50+I51+I52+I53+I54+I56</f>
        <v>0</v>
      </c>
      <c r="J59" s="79">
        <f t="shared" si="8"/>
        <v>0</v>
      </c>
      <c r="K59" s="79">
        <f t="shared" si="8"/>
        <v>0</v>
      </c>
      <c r="L59" s="79" t="e">
        <f>L34+L36+L37+L40+L41+L44+#REF!+L56</f>
        <v>#REF!</v>
      </c>
      <c r="M59" s="79" t="e">
        <f>M34+M36+M37+M40+M41+M44+#REF!+M56</f>
        <v>#REF!</v>
      </c>
    </row>
    <row r="60" spans="1:14" ht="30" customHeight="1" thickBot="1">
      <c r="A60" s="146" t="s">
        <v>67</v>
      </c>
      <c r="B60" s="147"/>
      <c r="C60" s="147"/>
      <c r="D60" s="147"/>
      <c r="E60" s="147"/>
      <c r="F60" s="148"/>
      <c r="G60" s="59">
        <f>G61+G62</f>
        <v>61145.1</v>
      </c>
      <c r="H60" s="85">
        <f t="shared" ref="H60:K60" si="9">H61+H62</f>
        <v>15291.199999999999</v>
      </c>
      <c r="I60" s="85">
        <f t="shared" si="9"/>
        <v>0</v>
      </c>
      <c r="J60" s="85">
        <f t="shared" si="9"/>
        <v>0</v>
      </c>
      <c r="K60" s="85">
        <f t="shared" si="9"/>
        <v>0</v>
      </c>
      <c r="L60" s="24" t="e">
        <f>L61+L62</f>
        <v>#REF!</v>
      </c>
      <c r="M60" s="24" t="e">
        <f>M61+M62</f>
        <v>#REF!</v>
      </c>
    </row>
    <row r="61" spans="1:14" ht="30" customHeight="1" thickBot="1">
      <c r="A61" s="134" t="s">
        <v>55</v>
      </c>
      <c r="B61" s="135"/>
      <c r="C61" s="135"/>
      <c r="D61" s="135"/>
      <c r="E61" s="142"/>
      <c r="F61" s="16"/>
      <c r="G61" s="23">
        <f t="shared" ref="G61:M62" si="10">G58+G31</f>
        <v>14797.5</v>
      </c>
      <c r="H61" s="23">
        <f t="shared" si="10"/>
        <v>1858.4</v>
      </c>
      <c r="I61" s="23">
        <f t="shared" si="10"/>
        <v>0</v>
      </c>
      <c r="J61" s="23">
        <f t="shared" si="10"/>
        <v>0</v>
      </c>
      <c r="K61" s="23">
        <f t="shared" si="10"/>
        <v>0</v>
      </c>
      <c r="L61" s="23" t="e">
        <f t="shared" si="10"/>
        <v>#REF!</v>
      </c>
      <c r="M61" s="23" t="e">
        <f t="shared" si="10"/>
        <v>#REF!</v>
      </c>
    </row>
    <row r="62" spans="1:14" ht="30" customHeight="1" thickBot="1">
      <c r="A62" s="143"/>
      <c r="B62" s="144"/>
      <c r="C62" s="144"/>
      <c r="D62" s="144"/>
      <c r="E62" s="145"/>
      <c r="F62" s="16"/>
      <c r="G62" s="23">
        <f t="shared" si="10"/>
        <v>46347.6</v>
      </c>
      <c r="H62" s="23">
        <f t="shared" si="10"/>
        <v>13432.8</v>
      </c>
      <c r="I62" s="23">
        <f t="shared" si="10"/>
        <v>0</v>
      </c>
      <c r="J62" s="23">
        <f t="shared" si="10"/>
        <v>0</v>
      </c>
      <c r="K62" s="23">
        <f t="shared" si="10"/>
        <v>0</v>
      </c>
      <c r="L62" s="23" t="e">
        <f t="shared" si="10"/>
        <v>#REF!</v>
      </c>
      <c r="M62" s="23" t="e">
        <f t="shared" si="10"/>
        <v>#REF!</v>
      </c>
      <c r="N62" s="24">
        <f>H62+I62+J62+K62</f>
        <v>13432.8</v>
      </c>
    </row>
    <row r="64" spans="1:14">
      <c r="H64" s="24"/>
      <c r="I64" s="24"/>
    </row>
    <row r="65" spans="8:11">
      <c r="H65" s="24"/>
    </row>
    <row r="66" spans="8:11">
      <c r="H66" s="24"/>
      <c r="I66" s="24"/>
    </row>
    <row r="67" spans="8:11">
      <c r="H67" s="24"/>
      <c r="I67" s="24"/>
      <c r="K67" s="24"/>
    </row>
    <row r="68" spans="8:11">
      <c r="H68" s="24"/>
      <c r="I68" s="24"/>
      <c r="J68" s="24"/>
    </row>
    <row r="71" spans="8:11">
      <c r="H71" s="24"/>
    </row>
  </sheetData>
  <mergeCells count="61">
    <mergeCell ref="E1:E3"/>
    <mergeCell ref="A4:E4"/>
    <mergeCell ref="B7:C7"/>
    <mergeCell ref="B11:C11"/>
    <mergeCell ref="B12:C12"/>
    <mergeCell ref="B5:C5"/>
    <mergeCell ref="B6:C6"/>
    <mergeCell ref="A1:A3"/>
    <mergeCell ref="B1:C3"/>
    <mergeCell ref="D1:D3"/>
    <mergeCell ref="A13:E13"/>
    <mergeCell ref="A14:E14"/>
    <mergeCell ref="A15:E15"/>
    <mergeCell ref="A16:E16"/>
    <mergeCell ref="B8:C8"/>
    <mergeCell ref="B9:C9"/>
    <mergeCell ref="B10:C10"/>
    <mergeCell ref="F16:J16"/>
    <mergeCell ref="A30:F30"/>
    <mergeCell ref="A31:D31"/>
    <mergeCell ref="E31:F31"/>
    <mergeCell ref="D26:D27"/>
    <mergeCell ref="A17:A29"/>
    <mergeCell ref="B17:C29"/>
    <mergeCell ref="D17:D18"/>
    <mergeCell ref="D19:D20"/>
    <mergeCell ref="D22:D23"/>
    <mergeCell ref="D24:D25"/>
    <mergeCell ref="C56:D56"/>
    <mergeCell ref="E32:F32"/>
    <mergeCell ref="A33:A44"/>
    <mergeCell ref="C33:D33"/>
    <mergeCell ref="B34:B44"/>
    <mergeCell ref="C34:D34"/>
    <mergeCell ref="C35:D35"/>
    <mergeCell ref="C36:D36"/>
    <mergeCell ref="C38:D38"/>
    <mergeCell ref="C39:D40"/>
    <mergeCell ref="C41:D41"/>
    <mergeCell ref="C43:D44"/>
    <mergeCell ref="C37:D37"/>
    <mergeCell ref="A32:D32"/>
    <mergeCell ref="C42:D42"/>
    <mergeCell ref="A45:A46"/>
    <mergeCell ref="A57:F57"/>
    <mergeCell ref="A58:E58"/>
    <mergeCell ref="A59:E59"/>
    <mergeCell ref="A61:E61"/>
    <mergeCell ref="A62:E62"/>
    <mergeCell ref="A60:F60"/>
    <mergeCell ref="B45:B46"/>
    <mergeCell ref="C45:D46"/>
    <mergeCell ref="C47:D47"/>
    <mergeCell ref="C55:D55"/>
    <mergeCell ref="C54:D54"/>
    <mergeCell ref="C50:D50"/>
    <mergeCell ref="C51:D51"/>
    <mergeCell ref="C48:D48"/>
    <mergeCell ref="C49:D49"/>
    <mergeCell ref="C52:D52"/>
    <mergeCell ref="C53:D53"/>
  </mergeCells>
  <pageMargins left="0.7" right="0.7" top="0.75" bottom="0.75" header="0.3" footer="0.3"/>
  <pageSetup paperSize="9" scale="6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workbookViewId="0">
      <selection activeCell="I34" sqref="I34:I48"/>
    </sheetView>
  </sheetViews>
  <sheetFormatPr defaultRowHeight="15"/>
  <cols>
    <col min="2" max="2" width="17.5703125" customWidth="1"/>
    <col min="3" max="3" width="16.140625" customWidth="1"/>
    <col min="4" max="4" width="15.140625" customWidth="1"/>
    <col min="5" max="5" width="18.85546875" customWidth="1"/>
    <col min="6" max="6" width="17.140625" customWidth="1"/>
    <col min="7" max="7" width="15.28515625" customWidth="1"/>
    <col min="8" max="8" width="14.42578125" customWidth="1"/>
  </cols>
  <sheetData>
    <row r="1" spans="1:13" ht="47.25" customHeight="1" thickBot="1">
      <c r="A1" s="127" t="s">
        <v>0</v>
      </c>
      <c r="B1" s="161" t="s">
        <v>1</v>
      </c>
      <c r="C1" s="162"/>
      <c r="D1" s="181" t="s">
        <v>2</v>
      </c>
      <c r="E1" s="127" t="s">
        <v>3</v>
      </c>
      <c r="F1" s="60" t="s">
        <v>4</v>
      </c>
      <c r="G1" s="143" t="s">
        <v>6</v>
      </c>
      <c r="H1" s="204"/>
      <c r="I1" s="44"/>
      <c r="J1" s="44"/>
      <c r="K1" s="44"/>
      <c r="L1" s="44"/>
      <c r="M1" s="44"/>
    </row>
    <row r="2" spans="1:13" ht="15.75" customHeight="1" thickBot="1">
      <c r="A2" s="128"/>
      <c r="B2" s="163"/>
      <c r="C2" s="164"/>
      <c r="D2" s="182"/>
      <c r="E2" s="128"/>
      <c r="F2" s="62" t="s">
        <v>5</v>
      </c>
      <c r="G2" s="5">
        <v>2021</v>
      </c>
      <c r="H2" s="5" t="s">
        <v>74</v>
      </c>
    </row>
    <row r="3" spans="1:13" ht="16.5" thickBot="1">
      <c r="A3" s="160"/>
      <c r="B3" s="165"/>
      <c r="C3" s="166"/>
      <c r="D3" s="183"/>
      <c r="E3" s="160"/>
      <c r="F3" s="3"/>
      <c r="G3" s="6" t="s">
        <v>7</v>
      </c>
      <c r="H3" s="43">
        <v>2021</v>
      </c>
    </row>
    <row r="4" spans="1:13" ht="16.5" customHeight="1" thickBot="1">
      <c r="A4" s="173" t="s">
        <v>8</v>
      </c>
      <c r="B4" s="174"/>
      <c r="C4" s="174"/>
      <c r="D4" s="174"/>
      <c r="E4" s="177"/>
      <c r="F4" s="63"/>
      <c r="G4" s="63"/>
      <c r="H4" s="63"/>
    </row>
    <row r="5" spans="1:13" ht="30" customHeight="1" thickBot="1">
      <c r="A5" s="66" t="s">
        <v>9</v>
      </c>
      <c r="B5" s="205" t="s">
        <v>10</v>
      </c>
      <c r="C5" s="205"/>
      <c r="D5" s="48" t="s">
        <v>11</v>
      </c>
      <c r="E5" s="45">
        <v>2021</v>
      </c>
      <c r="F5" s="48" t="s">
        <v>12</v>
      </c>
      <c r="G5" s="46">
        <v>35951.5</v>
      </c>
      <c r="H5" s="49">
        <v>6003.9</v>
      </c>
    </row>
    <row r="6" spans="1:13" ht="30" customHeight="1" thickBot="1">
      <c r="A6" s="65" t="s">
        <v>13</v>
      </c>
      <c r="B6" s="141" t="s">
        <v>14</v>
      </c>
      <c r="C6" s="141"/>
      <c r="D6" s="64" t="s">
        <v>15</v>
      </c>
      <c r="E6" s="45">
        <v>2021</v>
      </c>
      <c r="F6" s="64" t="s">
        <v>16</v>
      </c>
      <c r="G6" s="46">
        <v>2400</v>
      </c>
      <c r="H6" s="46">
        <v>19048.900000000001</v>
      </c>
      <c r="I6" s="47"/>
    </row>
    <row r="7" spans="1:13" ht="30" customHeight="1" thickBot="1">
      <c r="A7" s="65" t="s">
        <v>17</v>
      </c>
      <c r="B7" s="141" t="s">
        <v>18</v>
      </c>
      <c r="C7" s="141"/>
      <c r="D7" s="64" t="s">
        <v>19</v>
      </c>
      <c r="E7" s="45">
        <v>2021</v>
      </c>
      <c r="F7" s="64" t="s">
        <v>20</v>
      </c>
      <c r="G7" s="46">
        <v>13305.1</v>
      </c>
      <c r="H7" s="46">
        <v>3573.6000000000004</v>
      </c>
    </row>
    <row r="8" spans="1:13" ht="30" customHeight="1" thickBot="1">
      <c r="A8" s="65" t="s">
        <v>21</v>
      </c>
      <c r="B8" s="141" t="s">
        <v>22</v>
      </c>
      <c r="C8" s="141"/>
      <c r="D8" s="64" t="s">
        <v>23</v>
      </c>
      <c r="E8" s="45">
        <v>2021</v>
      </c>
      <c r="F8" s="64" t="s">
        <v>24</v>
      </c>
      <c r="G8" s="46">
        <v>696.1</v>
      </c>
      <c r="H8" s="46">
        <v>991.40000000000009</v>
      </c>
    </row>
    <row r="9" spans="1:13" ht="30" customHeight="1" thickBot="1">
      <c r="A9" s="65" t="s">
        <v>25</v>
      </c>
      <c r="B9" s="141" t="s">
        <v>26</v>
      </c>
      <c r="C9" s="141"/>
      <c r="D9" s="64" t="s">
        <v>27</v>
      </c>
      <c r="E9" s="45">
        <v>2021</v>
      </c>
      <c r="F9" s="64" t="s">
        <v>28</v>
      </c>
      <c r="G9" s="46">
        <v>2604.4</v>
      </c>
      <c r="H9" s="46">
        <v>807.5</v>
      </c>
    </row>
    <row r="10" spans="1:13" ht="55.5" customHeight="1" thickBot="1">
      <c r="A10" s="65" t="s">
        <v>29</v>
      </c>
      <c r="B10" s="141" t="s">
        <v>30</v>
      </c>
      <c r="C10" s="141"/>
      <c r="D10" s="64" t="s">
        <v>31</v>
      </c>
      <c r="E10" s="45">
        <v>2021</v>
      </c>
      <c r="F10" s="64" t="s">
        <v>32</v>
      </c>
      <c r="G10" s="46">
        <v>947.3</v>
      </c>
      <c r="H10" s="46">
        <v>1306.6000000000001</v>
      </c>
    </row>
    <row r="11" spans="1:13" ht="66" customHeight="1" thickBot="1">
      <c r="A11" s="65" t="s">
        <v>33</v>
      </c>
      <c r="B11" s="141" t="s">
        <v>34</v>
      </c>
      <c r="C11" s="141"/>
      <c r="D11" s="64" t="s">
        <v>35</v>
      </c>
      <c r="E11" s="45">
        <v>2021</v>
      </c>
      <c r="F11" s="64" t="s">
        <v>28</v>
      </c>
      <c r="G11" s="46">
        <v>146.80000000000001</v>
      </c>
      <c r="H11" s="49">
        <v>38.700000000000003</v>
      </c>
    </row>
    <row r="12" spans="1:13" ht="30" customHeight="1" thickBot="1">
      <c r="A12" s="65" t="s">
        <v>36</v>
      </c>
      <c r="B12" s="141" t="s">
        <v>37</v>
      </c>
      <c r="C12" s="141"/>
      <c r="D12" s="64" t="s">
        <v>38</v>
      </c>
      <c r="E12" s="45">
        <v>2021</v>
      </c>
      <c r="F12" s="64" t="s">
        <v>39</v>
      </c>
      <c r="G12" s="46">
        <v>2268.8000000000002</v>
      </c>
      <c r="H12" s="46">
        <v>4555.5</v>
      </c>
    </row>
    <row r="13" spans="1:13" ht="30" customHeight="1" thickBot="1">
      <c r="A13" s="202" t="s">
        <v>40</v>
      </c>
      <c r="B13" s="202"/>
      <c r="C13" s="202"/>
      <c r="D13" s="202"/>
      <c r="E13" s="202"/>
      <c r="F13" s="64"/>
      <c r="G13" s="50">
        <f>SUM(G5:G12)</f>
        <v>58320.000000000007</v>
      </c>
      <c r="H13" s="50">
        <f>SUM(H5:H12)</f>
        <v>36326.100000000006</v>
      </c>
    </row>
    <row r="14" spans="1:13" ht="30" customHeight="1" thickBot="1">
      <c r="A14" s="203" t="s">
        <v>41</v>
      </c>
      <c r="B14" s="203"/>
      <c r="C14" s="203"/>
      <c r="D14" s="203"/>
      <c r="E14" s="203"/>
      <c r="F14" s="66" t="s">
        <v>12</v>
      </c>
      <c r="G14" s="50">
        <f>G5</f>
        <v>35951.5</v>
      </c>
      <c r="H14" s="51">
        <f>H5</f>
        <v>6003.9</v>
      </c>
    </row>
    <row r="15" spans="1:13" ht="30" customHeight="1" thickBot="1">
      <c r="A15" s="151"/>
      <c r="B15" s="151"/>
      <c r="C15" s="151"/>
      <c r="D15" s="151"/>
      <c r="E15" s="151"/>
      <c r="F15" s="66" t="s">
        <v>42</v>
      </c>
      <c r="G15" s="50">
        <f>SUM(G6:G12)</f>
        <v>22368.5</v>
      </c>
      <c r="H15" s="50">
        <f>SUM(H6:H12)</f>
        <v>30322.2</v>
      </c>
      <c r="I15" s="24"/>
    </row>
    <row r="16" spans="1:13" ht="30" customHeight="1" thickBot="1">
      <c r="A16" s="173" t="s">
        <v>43</v>
      </c>
      <c r="B16" s="174"/>
      <c r="C16" s="174"/>
      <c r="D16" s="174"/>
      <c r="E16" s="177"/>
      <c r="F16" s="200"/>
      <c r="G16" s="201"/>
      <c r="H16" s="201"/>
    </row>
    <row r="17" spans="1:8" ht="32.25" thickBot="1">
      <c r="A17" s="127" t="s">
        <v>44</v>
      </c>
      <c r="B17" s="161" t="s">
        <v>45</v>
      </c>
      <c r="C17" s="162"/>
      <c r="D17" s="127" t="s">
        <v>46</v>
      </c>
      <c r="E17" s="20">
        <v>2021</v>
      </c>
      <c r="F17" s="61" t="s">
        <v>12</v>
      </c>
      <c r="G17" s="26">
        <v>229.2</v>
      </c>
      <c r="H17" s="14"/>
    </row>
    <row r="18" spans="1:8" ht="32.25" thickBot="1">
      <c r="A18" s="128"/>
      <c r="B18" s="163"/>
      <c r="C18" s="164"/>
      <c r="D18" s="160"/>
      <c r="E18" s="20">
        <v>2021</v>
      </c>
      <c r="F18" s="61" t="s">
        <v>42</v>
      </c>
      <c r="G18" s="26">
        <v>626.6</v>
      </c>
      <c r="H18" s="22">
        <v>1454.3</v>
      </c>
    </row>
    <row r="19" spans="1:8" ht="32.25" thickBot="1">
      <c r="A19" s="128"/>
      <c r="B19" s="163"/>
      <c r="C19" s="164"/>
      <c r="D19" s="127" t="s">
        <v>47</v>
      </c>
      <c r="E19" s="20">
        <v>2021</v>
      </c>
      <c r="F19" s="61" t="s">
        <v>12</v>
      </c>
      <c r="G19" s="27">
        <v>3529.1</v>
      </c>
      <c r="H19" s="27">
        <v>765.7</v>
      </c>
    </row>
    <row r="20" spans="1:8" ht="32.25" thickBot="1">
      <c r="A20" s="128"/>
      <c r="B20" s="163"/>
      <c r="C20" s="164"/>
      <c r="D20" s="160"/>
      <c r="E20" s="20">
        <v>2021</v>
      </c>
      <c r="F20" s="61" t="s">
        <v>42</v>
      </c>
      <c r="G20" s="27">
        <v>7719.6</v>
      </c>
      <c r="H20" s="15">
        <v>6741.4</v>
      </c>
    </row>
    <row r="21" spans="1:8" ht="32.25" thickBot="1">
      <c r="A21" s="128"/>
      <c r="B21" s="163"/>
      <c r="C21" s="164"/>
      <c r="D21" s="63" t="s">
        <v>48</v>
      </c>
      <c r="E21" s="20">
        <v>2021</v>
      </c>
      <c r="F21" s="61" t="s">
        <v>42</v>
      </c>
      <c r="G21" s="26">
        <v>927.7</v>
      </c>
      <c r="H21" s="14">
        <v>427</v>
      </c>
    </row>
    <row r="22" spans="1:8" ht="32.25" thickBot="1">
      <c r="A22" s="128"/>
      <c r="B22" s="163"/>
      <c r="C22" s="164"/>
      <c r="D22" s="127" t="s">
        <v>49</v>
      </c>
      <c r="E22" s="20">
        <v>2021</v>
      </c>
      <c r="F22" s="61" t="s">
        <v>12</v>
      </c>
      <c r="G22" s="27">
        <v>177.2</v>
      </c>
      <c r="H22" s="27">
        <v>160.30000000000001</v>
      </c>
    </row>
    <row r="23" spans="1:8" ht="32.25" thickBot="1">
      <c r="A23" s="128"/>
      <c r="B23" s="163"/>
      <c r="C23" s="164"/>
      <c r="D23" s="160"/>
      <c r="E23" s="20">
        <v>2021</v>
      </c>
      <c r="F23" s="61" t="s">
        <v>42</v>
      </c>
      <c r="G23" s="26">
        <v>636.79999999999995</v>
      </c>
      <c r="H23" s="14">
        <v>723.6</v>
      </c>
    </row>
    <row r="24" spans="1:8" ht="32.25" thickBot="1">
      <c r="A24" s="128"/>
      <c r="B24" s="163"/>
      <c r="C24" s="164"/>
      <c r="D24" s="127" t="s">
        <v>50</v>
      </c>
      <c r="E24" s="20">
        <v>2021</v>
      </c>
      <c r="F24" s="61" t="s">
        <v>12</v>
      </c>
      <c r="G24" s="26">
        <v>2560.3000000000002</v>
      </c>
      <c r="H24" s="27">
        <v>1173.5</v>
      </c>
    </row>
    <row r="25" spans="1:8" ht="32.25" thickBot="1">
      <c r="A25" s="128"/>
      <c r="B25" s="163"/>
      <c r="C25" s="164"/>
      <c r="D25" s="160"/>
      <c r="E25" s="20">
        <v>2021</v>
      </c>
      <c r="F25" s="61" t="s">
        <v>42</v>
      </c>
      <c r="G25" s="26">
        <v>148.69999999999999</v>
      </c>
      <c r="H25" s="26">
        <v>62.7</v>
      </c>
    </row>
    <row r="26" spans="1:8" ht="32.25" thickBot="1">
      <c r="A26" s="128"/>
      <c r="B26" s="163"/>
      <c r="C26" s="164"/>
      <c r="D26" s="127" t="s">
        <v>51</v>
      </c>
      <c r="E26" s="20">
        <v>2021</v>
      </c>
      <c r="F26" s="61" t="s">
        <v>12</v>
      </c>
      <c r="G26" s="27">
        <v>16114.6</v>
      </c>
      <c r="H26" s="27">
        <v>3104.3999999999996</v>
      </c>
    </row>
    <row r="27" spans="1:8" ht="32.25" thickBot="1">
      <c r="A27" s="128"/>
      <c r="B27" s="163"/>
      <c r="C27" s="164"/>
      <c r="D27" s="128"/>
      <c r="E27" s="52">
        <v>2021</v>
      </c>
      <c r="F27" s="33" t="s">
        <v>42</v>
      </c>
      <c r="G27" s="38">
        <v>8699.9</v>
      </c>
      <c r="H27" s="39">
        <v>19940.5</v>
      </c>
    </row>
    <row r="28" spans="1:8" ht="32.25" thickBot="1">
      <c r="A28" s="128"/>
      <c r="B28" s="163"/>
      <c r="C28" s="164"/>
      <c r="D28" s="141" t="s">
        <v>52</v>
      </c>
      <c r="E28" s="45">
        <v>2021</v>
      </c>
      <c r="F28" s="64" t="s">
        <v>12</v>
      </c>
      <c r="G28" s="53">
        <v>34.6</v>
      </c>
      <c r="H28" s="54"/>
    </row>
    <row r="29" spans="1:8" ht="32.25" thickBot="1">
      <c r="A29" s="128"/>
      <c r="B29" s="163"/>
      <c r="C29" s="164"/>
      <c r="D29" s="141"/>
      <c r="E29" s="45">
        <v>2021</v>
      </c>
      <c r="F29" s="64" t="s">
        <v>42</v>
      </c>
      <c r="G29" s="46">
        <v>47.8</v>
      </c>
      <c r="H29" s="49">
        <v>12.8</v>
      </c>
    </row>
    <row r="30" spans="1:8" ht="111" thickBot="1">
      <c r="A30" s="160"/>
      <c r="B30" s="165"/>
      <c r="C30" s="166"/>
      <c r="D30" s="65" t="s">
        <v>53</v>
      </c>
      <c r="E30" s="45">
        <v>2021</v>
      </c>
      <c r="F30" s="64" t="s">
        <v>42</v>
      </c>
      <c r="G30" s="53">
        <v>86.4</v>
      </c>
      <c r="H30" s="54">
        <v>280.5</v>
      </c>
    </row>
    <row r="31" spans="1:8" ht="19.5" thickBot="1">
      <c r="A31" s="134" t="s">
        <v>54</v>
      </c>
      <c r="B31" s="135"/>
      <c r="C31" s="135"/>
      <c r="D31" s="135"/>
      <c r="E31" s="135"/>
      <c r="F31" s="142"/>
      <c r="G31" s="28">
        <f>SUM(G17:G30)</f>
        <v>41538.500000000007</v>
      </c>
      <c r="H31" s="28">
        <f>SUM(H17:H30)</f>
        <v>34846.700000000004</v>
      </c>
    </row>
    <row r="32" spans="1:8" ht="19.5" thickBot="1">
      <c r="A32" s="156" t="s">
        <v>55</v>
      </c>
      <c r="B32" s="157"/>
      <c r="C32" s="157"/>
      <c r="D32" s="158"/>
      <c r="E32" s="193" t="s">
        <v>72</v>
      </c>
      <c r="F32" s="194"/>
      <c r="G32" s="28">
        <f>G17+G19+G22+G24+G26+G28</f>
        <v>22645</v>
      </c>
      <c r="H32" s="28">
        <f>H17+H19+H22+H24+H26+H28</f>
        <v>5203.8999999999996</v>
      </c>
    </row>
    <row r="33" spans="1:8" ht="19.5" thickBot="1">
      <c r="A33" s="143"/>
      <c r="B33" s="144"/>
      <c r="C33" s="144"/>
      <c r="D33" s="145"/>
      <c r="E33" s="193"/>
      <c r="F33" s="194"/>
      <c r="G33" s="28">
        <f>G18+G20+G21+G23+G25+G27+G29+G30</f>
        <v>18893.500000000004</v>
      </c>
      <c r="H33" s="28">
        <f>H18+H20+H21+H23+H25+H27+H29+H30</f>
        <v>29642.799999999999</v>
      </c>
    </row>
    <row r="34" spans="1:8" ht="32.25" thickBot="1">
      <c r="A34" s="127" t="s">
        <v>13</v>
      </c>
      <c r="B34" s="63" t="s">
        <v>56</v>
      </c>
      <c r="C34" s="195"/>
      <c r="D34" s="196"/>
      <c r="E34" s="33"/>
      <c r="F34" s="33"/>
      <c r="G34" s="41"/>
      <c r="H34" s="41"/>
    </row>
    <row r="35" spans="1:8" ht="32.25" thickBot="1">
      <c r="A35" s="128"/>
      <c r="B35" s="127" t="s">
        <v>41</v>
      </c>
      <c r="C35" s="197" t="s">
        <v>57</v>
      </c>
      <c r="D35" s="197"/>
      <c r="E35" s="45">
        <v>2021</v>
      </c>
      <c r="F35" s="45" t="s">
        <v>42</v>
      </c>
      <c r="G35" s="46">
        <v>200</v>
      </c>
      <c r="H35" s="49"/>
    </row>
    <row r="36" spans="1:8" ht="32.25" thickBot="1">
      <c r="A36" s="128"/>
      <c r="B36" s="128"/>
      <c r="C36" s="198" t="s">
        <v>73</v>
      </c>
      <c r="D36" s="198"/>
      <c r="E36" s="45">
        <v>2021</v>
      </c>
      <c r="F36" s="48" t="s">
        <v>12</v>
      </c>
      <c r="G36" s="46">
        <v>819.5</v>
      </c>
      <c r="H36" s="49"/>
    </row>
    <row r="37" spans="1:8" ht="32.25" thickBot="1">
      <c r="A37" s="128"/>
      <c r="B37" s="128"/>
      <c r="C37" s="151" t="s">
        <v>58</v>
      </c>
      <c r="D37" s="151"/>
      <c r="E37" s="45">
        <v>2021</v>
      </c>
      <c r="F37" s="64" t="s">
        <v>12</v>
      </c>
      <c r="G37" s="46">
        <v>250</v>
      </c>
      <c r="H37" s="46"/>
    </row>
    <row r="38" spans="1:8" ht="32.25" thickBot="1">
      <c r="A38" s="128"/>
      <c r="B38" s="128"/>
      <c r="C38" s="151"/>
      <c r="D38" s="151"/>
      <c r="E38" s="45">
        <v>2021</v>
      </c>
      <c r="F38" s="64" t="s">
        <v>42</v>
      </c>
      <c r="G38" s="46">
        <v>130</v>
      </c>
      <c r="H38" s="49"/>
    </row>
    <row r="39" spans="1:8" ht="32.25" thickBot="1">
      <c r="A39" s="128"/>
      <c r="B39" s="128"/>
      <c r="C39" s="151" t="s">
        <v>59</v>
      </c>
      <c r="D39" s="151"/>
      <c r="E39" s="45">
        <v>2021</v>
      </c>
      <c r="F39" s="64" t="s">
        <v>42</v>
      </c>
      <c r="G39" s="46">
        <v>30</v>
      </c>
      <c r="H39" s="49"/>
    </row>
    <row r="40" spans="1:8" ht="32.25" thickBot="1">
      <c r="A40" s="128"/>
      <c r="B40" s="128"/>
      <c r="C40" s="151" t="s">
        <v>60</v>
      </c>
      <c r="D40" s="151"/>
      <c r="E40" s="45">
        <v>2021</v>
      </c>
      <c r="F40" s="64" t="s">
        <v>12</v>
      </c>
      <c r="G40" s="46">
        <v>37</v>
      </c>
      <c r="H40" s="49"/>
    </row>
    <row r="41" spans="1:8" ht="32.25" thickBot="1">
      <c r="A41" s="128"/>
      <c r="B41" s="128"/>
      <c r="C41" s="132" t="s">
        <v>61</v>
      </c>
      <c r="D41" s="132"/>
      <c r="E41" s="45">
        <v>2021</v>
      </c>
      <c r="F41" s="64" t="s">
        <v>12</v>
      </c>
      <c r="G41" s="55">
        <v>3200</v>
      </c>
      <c r="H41" s="56"/>
    </row>
    <row r="42" spans="1:8" ht="32.25" thickBot="1">
      <c r="A42" s="128"/>
      <c r="B42" s="128"/>
      <c r="C42" s="132"/>
      <c r="D42" s="132"/>
      <c r="E42" s="45">
        <v>2021</v>
      </c>
      <c r="F42" s="64" t="s">
        <v>42</v>
      </c>
      <c r="G42" s="55">
        <v>2000</v>
      </c>
      <c r="H42" s="56">
        <v>495.1</v>
      </c>
    </row>
    <row r="43" spans="1:8" ht="32.25" thickBot="1">
      <c r="A43" s="128"/>
      <c r="B43" s="128"/>
      <c r="C43" s="199" t="s">
        <v>62</v>
      </c>
      <c r="D43" s="199"/>
      <c r="E43" s="45">
        <v>2021</v>
      </c>
      <c r="F43" s="64" t="s">
        <v>42</v>
      </c>
      <c r="G43" s="57">
        <v>300</v>
      </c>
      <c r="H43" s="58"/>
    </row>
    <row r="44" spans="1:8" ht="32.25" thickBot="1">
      <c r="A44" s="128"/>
      <c r="B44" s="128"/>
      <c r="C44" s="132" t="s">
        <v>63</v>
      </c>
      <c r="D44" s="132"/>
      <c r="E44" s="45">
        <v>2021</v>
      </c>
      <c r="F44" s="64" t="s">
        <v>12</v>
      </c>
      <c r="G44" s="46">
        <v>8000</v>
      </c>
      <c r="H44" s="49"/>
    </row>
    <row r="45" spans="1:8" ht="32.25" thickBot="1">
      <c r="A45" s="128"/>
      <c r="B45" s="128"/>
      <c r="C45" s="132"/>
      <c r="D45" s="132"/>
      <c r="E45" s="45">
        <v>2021</v>
      </c>
      <c r="F45" s="64" t="s">
        <v>42</v>
      </c>
      <c r="G45" s="46">
        <v>300</v>
      </c>
      <c r="H45" s="49"/>
    </row>
    <row r="46" spans="1:8" ht="32.25" thickBot="1">
      <c r="A46" s="127"/>
      <c r="B46" s="127"/>
      <c r="C46" s="129" t="s">
        <v>64</v>
      </c>
      <c r="D46" s="129"/>
      <c r="E46" s="45">
        <v>2021</v>
      </c>
      <c r="F46" s="64" t="s">
        <v>12</v>
      </c>
      <c r="G46" s="46">
        <v>1000</v>
      </c>
      <c r="H46" s="46">
        <v>800</v>
      </c>
    </row>
    <row r="47" spans="1:8" ht="32.25" thickBot="1">
      <c r="A47" s="128"/>
      <c r="B47" s="128"/>
      <c r="C47" s="129"/>
      <c r="D47" s="129"/>
      <c r="E47" s="45">
        <v>2021</v>
      </c>
      <c r="F47" s="64" t="s">
        <v>42</v>
      </c>
      <c r="G47" s="46">
        <v>485</v>
      </c>
      <c r="H47" s="49"/>
    </row>
    <row r="48" spans="1:8" ht="16.5" thickBot="1">
      <c r="A48" s="60"/>
      <c r="B48" s="60"/>
      <c r="C48" s="132" t="s">
        <v>65</v>
      </c>
      <c r="D48" s="132"/>
      <c r="E48" s="45">
        <v>2021</v>
      </c>
      <c r="F48" s="64" t="s">
        <v>16</v>
      </c>
      <c r="G48" s="46">
        <v>30</v>
      </c>
      <c r="H48" s="46"/>
    </row>
    <row r="49" spans="1:12" ht="16.5" thickBot="1">
      <c r="A49" s="134" t="s">
        <v>66</v>
      </c>
      <c r="B49" s="135"/>
      <c r="C49" s="136"/>
      <c r="D49" s="136"/>
      <c r="E49" s="136"/>
      <c r="F49" s="137"/>
      <c r="G49" s="29">
        <f>SUM(G35:G48)</f>
        <v>16781.5</v>
      </c>
      <c r="H49" s="29">
        <f t="shared" ref="H49" si="0">SUM(H35:H48)</f>
        <v>1295.0999999999999</v>
      </c>
    </row>
    <row r="50" spans="1:12" ht="32.25" thickBot="1">
      <c r="A50" s="138" t="s">
        <v>55</v>
      </c>
      <c r="B50" s="139"/>
      <c r="C50" s="139"/>
      <c r="D50" s="139"/>
      <c r="E50" s="140"/>
      <c r="F50" s="60" t="s">
        <v>12</v>
      </c>
      <c r="G50" s="34">
        <f>G36+G37+G40+G41+G44+G46</f>
        <v>13306.5</v>
      </c>
      <c r="H50" s="34">
        <f t="shared" ref="H50" si="1">H36+H37+H40+H41+H44+H46</f>
        <v>800</v>
      </c>
    </row>
    <row r="51" spans="1:12" ht="32.25" thickBot="1">
      <c r="A51" s="161"/>
      <c r="B51" s="178"/>
      <c r="C51" s="178"/>
      <c r="D51" s="178"/>
      <c r="E51" s="162"/>
      <c r="F51" s="60" t="s">
        <v>42</v>
      </c>
      <c r="G51" s="34">
        <f>G35+G38+G39+G42+G43+G45+G47+G48</f>
        <v>3475</v>
      </c>
      <c r="H51" s="34">
        <f>H35+H38+H39+H42+H43+H45+H47+H48</f>
        <v>495.1</v>
      </c>
    </row>
    <row r="52" spans="1:12" ht="15.75">
      <c r="A52" s="184"/>
      <c r="B52" s="185"/>
      <c r="C52" s="185"/>
      <c r="D52" s="185"/>
      <c r="E52" s="185"/>
      <c r="F52" s="186"/>
      <c r="G52" s="187">
        <f>G31+G49</f>
        <v>58320.000000000007</v>
      </c>
      <c r="H52" s="187">
        <f>H31+H49</f>
        <v>36141.800000000003</v>
      </c>
    </row>
    <row r="53" spans="1:12" ht="15.75">
      <c r="A53" s="190" t="s">
        <v>67</v>
      </c>
      <c r="B53" s="191"/>
      <c r="C53" s="191"/>
      <c r="D53" s="191"/>
      <c r="E53" s="191"/>
      <c r="F53" s="192"/>
      <c r="G53" s="188"/>
      <c r="H53" s="188"/>
    </row>
    <row r="54" spans="1:12" ht="16.5" thickBot="1">
      <c r="A54" s="146"/>
      <c r="B54" s="147"/>
      <c r="C54" s="147"/>
      <c r="D54" s="147"/>
      <c r="E54" s="147"/>
      <c r="F54" s="148"/>
      <c r="G54" s="189"/>
      <c r="H54" s="189"/>
      <c r="I54" s="24"/>
    </row>
    <row r="55" spans="1:12" ht="16.5" thickBot="1">
      <c r="A55" s="134" t="s">
        <v>55</v>
      </c>
      <c r="B55" s="135"/>
      <c r="C55" s="135"/>
      <c r="D55" s="135"/>
      <c r="E55" s="142"/>
      <c r="F55" s="16"/>
      <c r="G55" s="23">
        <f>G50+G32</f>
        <v>35951.5</v>
      </c>
      <c r="H55" s="23">
        <f>H50+H32</f>
        <v>6003.9</v>
      </c>
    </row>
    <row r="56" spans="1:12" ht="16.5" thickBot="1">
      <c r="A56" s="143"/>
      <c r="B56" s="144"/>
      <c r="C56" s="144"/>
      <c r="D56" s="144"/>
      <c r="E56" s="145"/>
      <c r="F56" s="16"/>
      <c r="G56" s="23">
        <f>G51+G33</f>
        <v>22368.500000000004</v>
      </c>
      <c r="H56" s="23">
        <f>H51+H33</f>
        <v>30137.899999999998</v>
      </c>
      <c r="I56" s="24"/>
    </row>
    <row r="57" spans="1:12">
      <c r="K57" s="24"/>
      <c r="L57" s="24"/>
    </row>
    <row r="58" spans="1:12">
      <c r="H58" s="24"/>
    </row>
    <row r="59" spans="1:12">
      <c r="H59" s="24"/>
    </row>
    <row r="60" spans="1:12">
      <c r="H60" s="24"/>
    </row>
    <row r="61" spans="1:12">
      <c r="H61" s="24"/>
    </row>
    <row r="62" spans="1:12">
      <c r="H62" s="24"/>
    </row>
    <row r="65" spans="8:8">
      <c r="H65" s="24"/>
    </row>
  </sheetData>
  <mergeCells count="57">
    <mergeCell ref="G1:H1"/>
    <mergeCell ref="A4:E4"/>
    <mergeCell ref="B10:C10"/>
    <mergeCell ref="A1:A3"/>
    <mergeCell ref="B1:C3"/>
    <mergeCell ref="D1:D3"/>
    <mergeCell ref="E1:E3"/>
    <mergeCell ref="B5:C5"/>
    <mergeCell ref="B6:C6"/>
    <mergeCell ref="B7:C7"/>
    <mergeCell ref="B8:C8"/>
    <mergeCell ref="B9:C9"/>
    <mergeCell ref="B11:C11"/>
    <mergeCell ref="B12:C12"/>
    <mergeCell ref="A13:E13"/>
    <mergeCell ref="A14:E14"/>
    <mergeCell ref="A15:E15"/>
    <mergeCell ref="F16:H16"/>
    <mergeCell ref="A17:A30"/>
    <mergeCell ref="B17:C30"/>
    <mergeCell ref="D17:D18"/>
    <mergeCell ref="D19:D20"/>
    <mergeCell ref="D22:D23"/>
    <mergeCell ref="D24:D25"/>
    <mergeCell ref="D26:D27"/>
    <mergeCell ref="D28:D29"/>
    <mergeCell ref="A16:E16"/>
    <mergeCell ref="C44:D45"/>
    <mergeCell ref="A31:F31"/>
    <mergeCell ref="A32:D32"/>
    <mergeCell ref="E32:F32"/>
    <mergeCell ref="A33:D33"/>
    <mergeCell ref="E33:F33"/>
    <mergeCell ref="A34:A45"/>
    <mergeCell ref="C34:D34"/>
    <mergeCell ref="B35:B45"/>
    <mergeCell ref="C35:D35"/>
    <mergeCell ref="C36:D36"/>
    <mergeCell ref="C37:D38"/>
    <mergeCell ref="C39:D39"/>
    <mergeCell ref="C40:D40"/>
    <mergeCell ref="C41:D42"/>
    <mergeCell ref="C43:D43"/>
    <mergeCell ref="H52:H54"/>
    <mergeCell ref="A53:F53"/>
    <mergeCell ref="A54:F54"/>
    <mergeCell ref="A46:A47"/>
    <mergeCell ref="B46:B47"/>
    <mergeCell ref="C46:D47"/>
    <mergeCell ref="C48:D48"/>
    <mergeCell ref="A49:F49"/>
    <mergeCell ref="A50:E50"/>
    <mergeCell ref="A55:E55"/>
    <mergeCell ref="A56:E56"/>
    <mergeCell ref="A51:E51"/>
    <mergeCell ref="A52:F52"/>
    <mergeCell ref="G52:G54"/>
  </mergeCells>
  <pageMargins left="0.7" right="0.7" top="0.75" bottom="0.75" header="0.3" footer="0.3"/>
  <pageSetup paperSize="9" scale="6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5"/>
  <sheetViews>
    <sheetView tabSelected="1" view="pageBreakPreview" zoomScale="70" zoomScaleNormal="100" zoomScaleSheetLayoutView="70" workbookViewId="0">
      <selection activeCell="G5" sqref="G5"/>
    </sheetView>
  </sheetViews>
  <sheetFormatPr defaultRowHeight="15"/>
  <cols>
    <col min="2" max="2" width="17.5703125" customWidth="1"/>
    <col min="3" max="3" width="16.140625" customWidth="1"/>
    <col min="4" max="4" width="15.140625" customWidth="1"/>
    <col min="5" max="5" width="18.85546875" customWidth="1"/>
    <col min="6" max="6" width="17.140625" customWidth="1"/>
    <col min="7" max="7" width="15.28515625" customWidth="1"/>
    <col min="8" max="8" width="14.42578125" customWidth="1"/>
    <col min="9" max="9" width="10.28515625" bestFit="1" customWidth="1"/>
    <col min="10" max="10" width="11.28515625" bestFit="1" customWidth="1"/>
  </cols>
  <sheetData>
    <row r="1" spans="1:13" ht="47.25" customHeight="1" thickBot="1">
      <c r="A1" s="127" t="s">
        <v>0</v>
      </c>
      <c r="B1" s="161" t="s">
        <v>1</v>
      </c>
      <c r="C1" s="162"/>
      <c r="D1" s="181" t="s">
        <v>2</v>
      </c>
      <c r="E1" s="127" t="s">
        <v>3</v>
      </c>
      <c r="F1" s="67" t="s">
        <v>4</v>
      </c>
      <c r="G1" s="143" t="s">
        <v>6</v>
      </c>
      <c r="H1" s="204"/>
      <c r="I1" s="44"/>
      <c r="J1" s="44"/>
      <c r="K1" s="44"/>
      <c r="L1" s="44"/>
      <c r="M1" s="44"/>
    </row>
    <row r="2" spans="1:13" ht="15.75" customHeight="1" thickBot="1">
      <c r="A2" s="128"/>
      <c r="B2" s="163"/>
      <c r="C2" s="164"/>
      <c r="D2" s="182"/>
      <c r="E2" s="128"/>
      <c r="F2" s="68" t="s">
        <v>5</v>
      </c>
      <c r="G2" s="5" t="s">
        <v>77</v>
      </c>
      <c r="H2" s="5" t="s">
        <v>77</v>
      </c>
    </row>
    <row r="3" spans="1:13" ht="16.5" thickBot="1">
      <c r="A3" s="160"/>
      <c r="B3" s="165"/>
      <c r="C3" s="166"/>
      <c r="D3" s="183"/>
      <c r="E3" s="160"/>
      <c r="F3" s="3"/>
      <c r="G3" s="6" t="s">
        <v>75</v>
      </c>
      <c r="H3" s="43" t="s">
        <v>76</v>
      </c>
    </row>
    <row r="4" spans="1:13" ht="16.5" customHeight="1" thickBot="1">
      <c r="A4" s="173" t="s">
        <v>8</v>
      </c>
      <c r="B4" s="174"/>
      <c r="C4" s="174"/>
      <c r="D4" s="174"/>
      <c r="E4" s="177"/>
      <c r="F4" s="69"/>
      <c r="G4" s="69"/>
      <c r="H4" s="69"/>
    </row>
    <row r="5" spans="1:13" ht="30" customHeight="1" thickBot="1">
      <c r="A5" s="70" t="s">
        <v>9</v>
      </c>
      <c r="B5" s="205" t="s">
        <v>10</v>
      </c>
      <c r="C5" s="205"/>
      <c r="D5" s="48" t="s">
        <v>11</v>
      </c>
      <c r="E5" s="45">
        <v>2021</v>
      </c>
      <c r="F5" s="48" t="s">
        <v>12</v>
      </c>
      <c r="G5" s="46">
        <v>35951.5</v>
      </c>
      <c r="H5" s="49">
        <f>7470.8+800</f>
        <v>8270.7999999999993</v>
      </c>
      <c r="J5" s="80"/>
      <c r="K5" s="80"/>
    </row>
    <row r="6" spans="1:13" ht="30" customHeight="1" thickBot="1">
      <c r="A6" s="71" t="s">
        <v>13</v>
      </c>
      <c r="B6" s="141" t="s">
        <v>14</v>
      </c>
      <c r="C6" s="141"/>
      <c r="D6" s="72" t="s">
        <v>15</v>
      </c>
      <c r="E6" s="45">
        <v>2021</v>
      </c>
      <c r="F6" s="72" t="s">
        <v>16</v>
      </c>
      <c r="G6" s="46">
        <v>2400</v>
      </c>
      <c r="H6" s="46">
        <v>27454.6</v>
      </c>
      <c r="I6" s="47"/>
    </row>
    <row r="7" spans="1:13" ht="30" customHeight="1" thickBot="1">
      <c r="A7" s="71" t="s">
        <v>17</v>
      </c>
      <c r="B7" s="141" t="s">
        <v>18</v>
      </c>
      <c r="C7" s="141"/>
      <c r="D7" s="72" t="s">
        <v>19</v>
      </c>
      <c r="E7" s="45">
        <v>2021</v>
      </c>
      <c r="F7" s="72" t="s">
        <v>20</v>
      </c>
      <c r="G7" s="46">
        <v>13305.1</v>
      </c>
      <c r="H7" s="46">
        <v>4605.8999999999996</v>
      </c>
    </row>
    <row r="8" spans="1:13" ht="30" customHeight="1" thickBot="1">
      <c r="A8" s="71" t="s">
        <v>21</v>
      </c>
      <c r="B8" s="141" t="s">
        <v>22</v>
      </c>
      <c r="C8" s="141"/>
      <c r="D8" s="72" t="s">
        <v>23</v>
      </c>
      <c r="E8" s="45">
        <v>2021</v>
      </c>
      <c r="F8" s="72" t="s">
        <v>24</v>
      </c>
      <c r="G8" s="46">
        <v>696.1</v>
      </c>
      <c r="H8" s="46">
        <v>1447</v>
      </c>
    </row>
    <row r="9" spans="1:13" ht="30" customHeight="1" thickBot="1">
      <c r="A9" s="71" t="s">
        <v>25</v>
      </c>
      <c r="B9" s="141" t="s">
        <v>26</v>
      </c>
      <c r="C9" s="141"/>
      <c r="D9" s="72" t="s">
        <v>27</v>
      </c>
      <c r="E9" s="45">
        <v>2021</v>
      </c>
      <c r="F9" s="72" t="s">
        <v>28</v>
      </c>
      <c r="G9" s="46">
        <v>2604.4</v>
      </c>
      <c r="H9" s="46">
        <f>1410.1+805</f>
        <v>2215.1</v>
      </c>
    </row>
    <row r="10" spans="1:13" ht="93.6" customHeight="1" thickBot="1">
      <c r="A10" s="71" t="s">
        <v>29</v>
      </c>
      <c r="B10" s="141" t="s">
        <v>30</v>
      </c>
      <c r="C10" s="141"/>
      <c r="D10" s="72" t="s">
        <v>31</v>
      </c>
      <c r="E10" s="45">
        <v>2021</v>
      </c>
      <c r="F10" s="72" t="s">
        <v>32</v>
      </c>
      <c r="G10" s="46">
        <v>947.3</v>
      </c>
      <c r="H10" s="46">
        <v>1596.3</v>
      </c>
    </row>
    <row r="11" spans="1:13" ht="66" customHeight="1" thickBot="1">
      <c r="A11" s="71" t="s">
        <v>33</v>
      </c>
      <c r="B11" s="141" t="s">
        <v>34</v>
      </c>
      <c r="C11" s="141"/>
      <c r="D11" s="72" t="s">
        <v>35</v>
      </c>
      <c r="E11" s="45">
        <v>2021</v>
      </c>
      <c r="F11" s="72" t="s">
        <v>28</v>
      </c>
      <c r="G11" s="46">
        <v>146.80000000000001</v>
      </c>
      <c r="H11" s="49">
        <v>56.8</v>
      </c>
    </row>
    <row r="12" spans="1:13" ht="30" customHeight="1" thickBot="1">
      <c r="A12" s="71" t="s">
        <v>36</v>
      </c>
      <c r="B12" s="141" t="s">
        <v>37</v>
      </c>
      <c r="C12" s="141"/>
      <c r="D12" s="72" t="s">
        <v>38</v>
      </c>
      <c r="E12" s="45">
        <v>2021</v>
      </c>
      <c r="F12" s="72" t="s">
        <v>39</v>
      </c>
      <c r="G12" s="46">
        <v>2268.8000000000002</v>
      </c>
      <c r="H12" s="46">
        <f>3662.9+2524.6+1.1+770.5-805</f>
        <v>6154.1</v>
      </c>
    </row>
    <row r="13" spans="1:13" ht="30" customHeight="1" thickBot="1">
      <c r="A13" s="202" t="s">
        <v>40</v>
      </c>
      <c r="B13" s="202"/>
      <c r="C13" s="202"/>
      <c r="D13" s="202"/>
      <c r="E13" s="202"/>
      <c r="F13" s="72"/>
      <c r="G13" s="50">
        <f>SUM(G5:G12)</f>
        <v>58320.000000000007</v>
      </c>
      <c r="H13" s="50">
        <f>SUM(H5:H12)</f>
        <v>51800.6</v>
      </c>
    </row>
    <row r="14" spans="1:13" ht="30" customHeight="1" thickBot="1">
      <c r="A14" s="203" t="s">
        <v>41</v>
      </c>
      <c r="B14" s="203"/>
      <c r="C14" s="203"/>
      <c r="D14" s="203"/>
      <c r="E14" s="203"/>
      <c r="F14" s="70" t="s">
        <v>12</v>
      </c>
      <c r="G14" s="50">
        <f>G5</f>
        <v>35951.5</v>
      </c>
      <c r="H14" s="51">
        <f>H5</f>
        <v>8270.7999999999993</v>
      </c>
    </row>
    <row r="15" spans="1:13" ht="30" customHeight="1" thickBot="1">
      <c r="A15" s="151"/>
      <c r="B15" s="151"/>
      <c r="C15" s="151"/>
      <c r="D15" s="151"/>
      <c r="E15" s="151"/>
      <c r="F15" s="70" t="s">
        <v>42</v>
      </c>
      <c r="G15" s="50">
        <f>SUM(G6:G12)</f>
        <v>22368.5</v>
      </c>
      <c r="H15" s="50">
        <f>SUM(H6:H12)</f>
        <v>43529.8</v>
      </c>
      <c r="I15" s="24"/>
    </row>
    <row r="16" spans="1:13" ht="30" customHeight="1" thickBot="1">
      <c r="A16" s="173" t="s">
        <v>43</v>
      </c>
      <c r="B16" s="174"/>
      <c r="C16" s="174"/>
      <c r="D16" s="174"/>
      <c r="E16" s="177"/>
      <c r="F16" s="200"/>
      <c r="G16" s="201"/>
      <c r="H16" s="201"/>
    </row>
    <row r="17" spans="1:8" ht="32.25" thickBot="1">
      <c r="A17" s="127" t="s">
        <v>44</v>
      </c>
      <c r="B17" s="161" t="s">
        <v>45</v>
      </c>
      <c r="C17" s="162"/>
      <c r="D17" s="127" t="s">
        <v>46</v>
      </c>
      <c r="E17" s="20">
        <v>2021</v>
      </c>
      <c r="F17" s="61" t="s">
        <v>12</v>
      </c>
      <c r="G17" s="26">
        <v>229.2</v>
      </c>
      <c r="H17" s="14"/>
    </row>
    <row r="18" spans="1:8" ht="32.25" thickBot="1">
      <c r="A18" s="128"/>
      <c r="B18" s="163"/>
      <c r="C18" s="164"/>
      <c r="D18" s="160"/>
      <c r="E18" s="20">
        <v>2021</v>
      </c>
      <c r="F18" s="61" t="s">
        <v>42</v>
      </c>
      <c r="G18" s="26">
        <v>626.6</v>
      </c>
      <c r="H18" s="26">
        <f>1871.2+1.1</f>
        <v>1872.3</v>
      </c>
    </row>
    <row r="19" spans="1:8" ht="32.25" thickBot="1">
      <c r="A19" s="128"/>
      <c r="B19" s="163"/>
      <c r="C19" s="164"/>
      <c r="D19" s="127" t="s">
        <v>47</v>
      </c>
      <c r="E19" s="20">
        <v>2021</v>
      </c>
      <c r="F19" s="61" t="s">
        <v>12</v>
      </c>
      <c r="G19" s="27">
        <v>3529.1</v>
      </c>
      <c r="H19" s="27">
        <v>1191.2</v>
      </c>
    </row>
    <row r="20" spans="1:8" ht="32.25" thickBot="1">
      <c r="A20" s="128"/>
      <c r="B20" s="163"/>
      <c r="C20" s="164"/>
      <c r="D20" s="160"/>
      <c r="E20" s="20">
        <v>2021</v>
      </c>
      <c r="F20" s="61" t="s">
        <v>42</v>
      </c>
      <c r="G20" s="27">
        <v>7719.6</v>
      </c>
      <c r="H20" s="15">
        <f>7340.5+2524.6</f>
        <v>9865.1</v>
      </c>
    </row>
    <row r="21" spans="1:8" ht="32.25" thickBot="1">
      <c r="A21" s="128"/>
      <c r="B21" s="163"/>
      <c r="C21" s="164"/>
      <c r="D21" s="69" t="s">
        <v>48</v>
      </c>
      <c r="E21" s="20">
        <v>2021</v>
      </c>
      <c r="F21" s="61" t="s">
        <v>42</v>
      </c>
      <c r="G21" s="26">
        <v>927.7</v>
      </c>
      <c r="H21" s="14">
        <v>623.5</v>
      </c>
    </row>
    <row r="22" spans="1:8" ht="32.25" thickBot="1">
      <c r="A22" s="128"/>
      <c r="B22" s="163"/>
      <c r="C22" s="164"/>
      <c r="D22" s="127" t="s">
        <v>49</v>
      </c>
      <c r="E22" s="20">
        <v>2021</v>
      </c>
      <c r="F22" s="61" t="s">
        <v>12</v>
      </c>
      <c r="G22" s="27">
        <v>177.2</v>
      </c>
      <c r="H22" s="27">
        <v>176.4</v>
      </c>
    </row>
    <row r="23" spans="1:8" ht="32.25" thickBot="1">
      <c r="A23" s="128"/>
      <c r="B23" s="163"/>
      <c r="C23" s="164"/>
      <c r="D23" s="160"/>
      <c r="E23" s="20">
        <v>2021</v>
      </c>
      <c r="F23" s="61" t="s">
        <v>42</v>
      </c>
      <c r="G23" s="26">
        <v>636.79999999999995</v>
      </c>
      <c r="H23" s="14">
        <f>1175.6-47.8</f>
        <v>1127.8</v>
      </c>
    </row>
    <row r="24" spans="1:8" ht="32.25" thickBot="1">
      <c r="A24" s="128"/>
      <c r="B24" s="163"/>
      <c r="C24" s="164"/>
      <c r="D24" s="127" t="s">
        <v>50</v>
      </c>
      <c r="E24" s="20">
        <v>2021</v>
      </c>
      <c r="F24" s="61" t="s">
        <v>12</v>
      </c>
      <c r="G24" s="26">
        <v>2560.3000000000002</v>
      </c>
      <c r="H24" s="27">
        <v>1960</v>
      </c>
    </row>
    <row r="25" spans="1:8" ht="32.25" thickBot="1">
      <c r="A25" s="128"/>
      <c r="B25" s="163"/>
      <c r="C25" s="164"/>
      <c r="D25" s="160"/>
      <c r="E25" s="20">
        <v>2021</v>
      </c>
      <c r="F25" s="61" t="s">
        <v>42</v>
      </c>
      <c r="G25" s="26">
        <v>148.69999999999999</v>
      </c>
      <c r="H25" s="26">
        <v>188.4</v>
      </c>
    </row>
    <row r="26" spans="1:8" ht="32.25" thickBot="1">
      <c r="A26" s="128"/>
      <c r="B26" s="163"/>
      <c r="C26" s="164"/>
      <c r="D26" s="127" t="s">
        <v>51</v>
      </c>
      <c r="E26" s="20">
        <v>2021</v>
      </c>
      <c r="F26" s="61" t="s">
        <v>12</v>
      </c>
      <c r="G26" s="27">
        <v>16114.6</v>
      </c>
      <c r="H26" s="27">
        <v>4143.2</v>
      </c>
    </row>
    <row r="27" spans="1:8" ht="32.25" thickBot="1">
      <c r="A27" s="128"/>
      <c r="B27" s="163"/>
      <c r="C27" s="164"/>
      <c r="D27" s="128"/>
      <c r="E27" s="52">
        <v>2021</v>
      </c>
      <c r="F27" s="33" t="s">
        <v>42</v>
      </c>
      <c r="G27" s="38">
        <v>8699.9</v>
      </c>
      <c r="H27" s="39">
        <f>27108.1+2.6</f>
        <v>27110.699999999997</v>
      </c>
    </row>
    <row r="28" spans="1:8" ht="32.25" thickBot="1">
      <c r="A28" s="128"/>
      <c r="B28" s="163"/>
      <c r="C28" s="164"/>
      <c r="D28" s="141" t="s">
        <v>52</v>
      </c>
      <c r="E28" s="45">
        <v>2021</v>
      </c>
      <c r="F28" s="72" t="s">
        <v>12</v>
      </c>
      <c r="G28" s="53">
        <v>34.6</v>
      </c>
      <c r="H28" s="54"/>
    </row>
    <row r="29" spans="1:8" ht="32.25" thickBot="1">
      <c r="A29" s="128"/>
      <c r="B29" s="163"/>
      <c r="C29" s="164"/>
      <c r="D29" s="141"/>
      <c r="E29" s="45">
        <v>2021</v>
      </c>
      <c r="F29" s="72" t="s">
        <v>42</v>
      </c>
      <c r="G29" s="46">
        <v>47.8</v>
      </c>
      <c r="H29" s="49">
        <v>47.8</v>
      </c>
    </row>
    <row r="30" spans="1:8" ht="111" thickBot="1">
      <c r="A30" s="160"/>
      <c r="B30" s="165"/>
      <c r="C30" s="166"/>
      <c r="D30" s="71" t="s">
        <v>53</v>
      </c>
      <c r="E30" s="45">
        <v>2021</v>
      </c>
      <c r="F30" s="72" t="s">
        <v>42</v>
      </c>
      <c r="G30" s="53">
        <v>86.4</v>
      </c>
      <c r="H30" s="54">
        <v>87.2</v>
      </c>
    </row>
    <row r="31" spans="1:8" ht="19.5" thickBot="1">
      <c r="A31" s="134" t="s">
        <v>54</v>
      </c>
      <c r="B31" s="135"/>
      <c r="C31" s="135"/>
      <c r="D31" s="135"/>
      <c r="E31" s="135"/>
      <c r="F31" s="142"/>
      <c r="G31" s="28">
        <f>SUM(G17:G30)</f>
        <v>41538.500000000007</v>
      </c>
      <c r="H31" s="28">
        <f>SUM(H17:H30)</f>
        <v>48393.599999999999</v>
      </c>
    </row>
    <row r="32" spans="1:8" ht="19.5" thickBot="1">
      <c r="A32" s="156" t="s">
        <v>55</v>
      </c>
      <c r="B32" s="157"/>
      <c r="C32" s="157"/>
      <c r="D32" s="158"/>
      <c r="E32" s="193" t="s">
        <v>72</v>
      </c>
      <c r="F32" s="194"/>
      <c r="G32" s="28">
        <f>G17+G19+G22+G24+G26+G28</f>
        <v>22645</v>
      </c>
      <c r="H32" s="28">
        <f>H17+H19+H22+H24+H26+H28</f>
        <v>7470.8</v>
      </c>
    </row>
    <row r="33" spans="1:8" ht="19.5" thickBot="1">
      <c r="A33" s="143"/>
      <c r="B33" s="144"/>
      <c r="C33" s="144"/>
      <c r="D33" s="145"/>
      <c r="E33" s="193"/>
      <c r="F33" s="194"/>
      <c r="G33" s="28">
        <f>G18+G20+G21+G23+G25+G27+G29+G30</f>
        <v>18893.500000000004</v>
      </c>
      <c r="H33" s="28">
        <f>H18+H20+H21+H23+H25+H27+H29+H30</f>
        <v>40922.799999999996</v>
      </c>
    </row>
    <row r="34" spans="1:8" ht="32.25" thickBot="1">
      <c r="A34" s="127" t="s">
        <v>13</v>
      </c>
      <c r="B34" s="69" t="s">
        <v>56</v>
      </c>
      <c r="C34" s="195"/>
      <c r="D34" s="196"/>
      <c r="E34" s="33"/>
      <c r="F34" s="33"/>
      <c r="G34" s="41"/>
      <c r="H34" s="41"/>
    </row>
    <row r="35" spans="1:8" ht="32.25" thickBot="1">
      <c r="A35" s="128"/>
      <c r="B35" s="127" t="s">
        <v>41</v>
      </c>
      <c r="C35" s="197" t="s">
        <v>57</v>
      </c>
      <c r="D35" s="197"/>
      <c r="E35" s="45">
        <v>2021</v>
      </c>
      <c r="F35" s="45" t="s">
        <v>42</v>
      </c>
      <c r="G35" s="46">
        <v>200</v>
      </c>
      <c r="H35" s="49"/>
    </row>
    <row r="36" spans="1:8" ht="32.25" thickBot="1">
      <c r="A36" s="128"/>
      <c r="B36" s="128"/>
      <c r="C36" s="198" t="s">
        <v>73</v>
      </c>
      <c r="D36" s="198"/>
      <c r="E36" s="45">
        <v>2021</v>
      </c>
      <c r="F36" s="48" t="s">
        <v>12</v>
      </c>
      <c r="G36" s="46">
        <v>819.5</v>
      </c>
      <c r="H36" s="49"/>
    </row>
    <row r="37" spans="1:8" ht="32.25" thickBot="1">
      <c r="A37" s="128"/>
      <c r="B37" s="128"/>
      <c r="C37" s="151" t="s">
        <v>58</v>
      </c>
      <c r="D37" s="151"/>
      <c r="E37" s="45">
        <v>2021</v>
      </c>
      <c r="F37" s="72" t="s">
        <v>12</v>
      </c>
      <c r="G37" s="46">
        <v>250</v>
      </c>
      <c r="H37" s="46"/>
    </row>
    <row r="38" spans="1:8" ht="32.25" thickBot="1">
      <c r="A38" s="128"/>
      <c r="B38" s="128"/>
      <c r="C38" s="151"/>
      <c r="D38" s="151"/>
      <c r="E38" s="45">
        <v>2021</v>
      </c>
      <c r="F38" s="72" t="s">
        <v>42</v>
      </c>
      <c r="G38" s="46">
        <v>130</v>
      </c>
      <c r="H38" s="49"/>
    </row>
    <row r="39" spans="1:8" ht="32.25" thickBot="1">
      <c r="A39" s="128"/>
      <c r="B39" s="128"/>
      <c r="C39" s="151" t="s">
        <v>59</v>
      </c>
      <c r="D39" s="151"/>
      <c r="E39" s="45">
        <v>2021</v>
      </c>
      <c r="F39" s="72" t="s">
        <v>42</v>
      </c>
      <c r="G39" s="46">
        <v>30</v>
      </c>
      <c r="H39" s="49"/>
    </row>
    <row r="40" spans="1:8" ht="32.25" thickBot="1">
      <c r="A40" s="128"/>
      <c r="B40" s="128"/>
      <c r="C40" s="151" t="s">
        <v>60</v>
      </c>
      <c r="D40" s="151"/>
      <c r="E40" s="45">
        <v>2021</v>
      </c>
      <c r="F40" s="72" t="s">
        <v>12</v>
      </c>
      <c r="G40" s="46">
        <v>37</v>
      </c>
      <c r="H40" s="49"/>
    </row>
    <row r="41" spans="1:8" ht="32.25" thickBot="1">
      <c r="A41" s="128"/>
      <c r="B41" s="128"/>
      <c r="C41" s="132" t="s">
        <v>61</v>
      </c>
      <c r="D41" s="132"/>
      <c r="E41" s="45">
        <v>2021</v>
      </c>
      <c r="F41" s="72" t="s">
        <v>12</v>
      </c>
      <c r="G41" s="55">
        <v>3200</v>
      </c>
      <c r="H41" s="56"/>
    </row>
    <row r="42" spans="1:8" ht="81.95" customHeight="1" thickBot="1">
      <c r="A42" s="128"/>
      <c r="B42" s="128"/>
      <c r="C42" s="132"/>
      <c r="D42" s="132"/>
      <c r="E42" s="45">
        <v>2021</v>
      </c>
      <c r="F42" s="72" t="s">
        <v>42</v>
      </c>
      <c r="G42" s="55">
        <v>2000</v>
      </c>
      <c r="H42" s="56">
        <f>599.2+770.5</f>
        <v>1369.7</v>
      </c>
    </row>
    <row r="43" spans="1:8" ht="36.6" customHeight="1" thickBot="1">
      <c r="A43" s="128"/>
      <c r="B43" s="128"/>
      <c r="C43" s="199" t="s">
        <v>62</v>
      </c>
      <c r="D43" s="199"/>
      <c r="E43" s="45">
        <v>2021</v>
      </c>
      <c r="F43" s="72" t="s">
        <v>42</v>
      </c>
      <c r="G43" s="57">
        <v>300</v>
      </c>
      <c r="H43" s="58"/>
    </row>
    <row r="44" spans="1:8" ht="32.25" thickBot="1">
      <c r="A44" s="128"/>
      <c r="B44" s="128"/>
      <c r="C44" s="132" t="s">
        <v>63</v>
      </c>
      <c r="D44" s="132"/>
      <c r="E44" s="45">
        <v>2021</v>
      </c>
      <c r="F44" s="72" t="s">
        <v>12</v>
      </c>
      <c r="G44" s="46">
        <v>8000</v>
      </c>
      <c r="H44" s="49"/>
    </row>
    <row r="45" spans="1:8" ht="32.25" thickBot="1">
      <c r="A45" s="128"/>
      <c r="B45" s="128"/>
      <c r="C45" s="132"/>
      <c r="D45" s="132"/>
      <c r="E45" s="45">
        <v>2021</v>
      </c>
      <c r="F45" s="72" t="s">
        <v>42</v>
      </c>
      <c r="G45" s="46">
        <v>300</v>
      </c>
      <c r="H45" s="49"/>
    </row>
    <row r="46" spans="1:8" ht="32.25" thickBot="1">
      <c r="A46" s="127"/>
      <c r="B46" s="127"/>
      <c r="C46" s="129" t="s">
        <v>64</v>
      </c>
      <c r="D46" s="129"/>
      <c r="E46" s="45">
        <v>2021</v>
      </c>
      <c r="F46" s="72" t="s">
        <v>12</v>
      </c>
      <c r="G46" s="46">
        <v>1000</v>
      </c>
      <c r="H46" s="46">
        <v>800</v>
      </c>
    </row>
    <row r="47" spans="1:8" ht="32.25" thickBot="1">
      <c r="A47" s="128"/>
      <c r="B47" s="128"/>
      <c r="C47" s="129"/>
      <c r="D47" s="129"/>
      <c r="E47" s="45">
        <v>2021</v>
      </c>
      <c r="F47" s="72" t="s">
        <v>42</v>
      </c>
      <c r="G47" s="46">
        <v>485</v>
      </c>
      <c r="H47" s="49"/>
    </row>
    <row r="48" spans="1:8" ht="16.5" thickBot="1">
      <c r="A48" s="67"/>
      <c r="B48" s="67"/>
      <c r="C48" s="132" t="s">
        <v>65</v>
      </c>
      <c r="D48" s="132"/>
      <c r="E48" s="45">
        <v>2021</v>
      </c>
      <c r="F48" s="72" t="s">
        <v>16</v>
      </c>
      <c r="G48" s="46">
        <v>30</v>
      </c>
      <c r="H48" s="46"/>
    </row>
    <row r="49" spans="1:12" ht="16.5" thickBot="1">
      <c r="A49" s="134" t="s">
        <v>66</v>
      </c>
      <c r="B49" s="135"/>
      <c r="C49" s="136"/>
      <c r="D49" s="136"/>
      <c r="E49" s="136"/>
      <c r="F49" s="137"/>
      <c r="G49" s="29">
        <f>SUM(G35:G48)</f>
        <v>16781.5</v>
      </c>
      <c r="H49" s="29">
        <f t="shared" ref="H49" si="0">SUM(H35:H48)</f>
        <v>2169.6999999999998</v>
      </c>
    </row>
    <row r="50" spans="1:12" ht="32.25" thickBot="1">
      <c r="A50" s="138" t="s">
        <v>55</v>
      </c>
      <c r="B50" s="139"/>
      <c r="C50" s="139"/>
      <c r="D50" s="139"/>
      <c r="E50" s="140"/>
      <c r="F50" s="67" t="s">
        <v>12</v>
      </c>
      <c r="G50" s="34">
        <f>G36+G37+G40+G41+G44+G46</f>
        <v>13306.5</v>
      </c>
      <c r="H50" s="34">
        <f t="shared" ref="H50" si="1">H36+H37+H40+H41+H44+H46</f>
        <v>800</v>
      </c>
    </row>
    <row r="51" spans="1:12" ht="32.25" thickBot="1">
      <c r="A51" s="161"/>
      <c r="B51" s="178"/>
      <c r="C51" s="178"/>
      <c r="D51" s="178"/>
      <c r="E51" s="162"/>
      <c r="F51" s="67" t="s">
        <v>42</v>
      </c>
      <c r="G51" s="34">
        <f>G35+G38+G39+G42+G43+G45+G47+G48</f>
        <v>3475</v>
      </c>
      <c r="H51" s="34">
        <f>H35+H38+H39+H42+H43+H45+H47+H48</f>
        <v>1369.7</v>
      </c>
    </row>
    <row r="52" spans="1:12" ht="15.75">
      <c r="A52" s="184"/>
      <c r="B52" s="185"/>
      <c r="C52" s="185"/>
      <c r="D52" s="185"/>
      <c r="E52" s="185"/>
      <c r="F52" s="186"/>
      <c r="G52" s="187">
        <f>G31+G49</f>
        <v>58320.000000000007</v>
      </c>
      <c r="H52" s="187">
        <f>H31+H49</f>
        <v>50563.299999999996</v>
      </c>
    </row>
    <row r="53" spans="1:12" ht="15.75">
      <c r="A53" s="190" t="s">
        <v>67</v>
      </c>
      <c r="B53" s="191"/>
      <c r="C53" s="191"/>
      <c r="D53" s="191"/>
      <c r="E53" s="191"/>
      <c r="F53" s="192"/>
      <c r="G53" s="188"/>
      <c r="H53" s="188"/>
    </row>
    <row r="54" spans="1:12" ht="16.5" thickBot="1">
      <c r="A54" s="146"/>
      <c r="B54" s="147"/>
      <c r="C54" s="147"/>
      <c r="D54" s="147"/>
      <c r="E54" s="147"/>
      <c r="F54" s="148"/>
      <c r="G54" s="189"/>
      <c r="H54" s="189"/>
      <c r="I54" s="24"/>
    </row>
    <row r="55" spans="1:12" ht="16.5" thickBot="1">
      <c r="A55" s="134" t="s">
        <v>55</v>
      </c>
      <c r="B55" s="135"/>
      <c r="C55" s="135"/>
      <c r="D55" s="135"/>
      <c r="E55" s="142"/>
      <c r="F55" s="16"/>
      <c r="G55" s="23">
        <f>G50+G32</f>
        <v>35951.5</v>
      </c>
      <c r="H55" s="23">
        <f>H50+H32</f>
        <v>8270.7999999999993</v>
      </c>
      <c r="I55" s="24"/>
      <c r="J55" s="24"/>
    </row>
    <row r="56" spans="1:12" ht="16.5" thickBot="1">
      <c r="A56" s="143"/>
      <c r="B56" s="144"/>
      <c r="C56" s="144"/>
      <c r="D56" s="144"/>
      <c r="E56" s="145"/>
      <c r="F56" s="16"/>
      <c r="G56" s="23">
        <f>G51+G33</f>
        <v>22368.500000000004</v>
      </c>
      <c r="H56" s="23">
        <f>H51+H33</f>
        <v>42292.499999999993</v>
      </c>
      <c r="I56" s="24"/>
    </row>
    <row r="57" spans="1:12">
      <c r="J57" s="24"/>
      <c r="K57" s="24"/>
      <c r="L57" s="24"/>
    </row>
    <row r="58" spans="1:12">
      <c r="H58" s="24"/>
    </row>
    <row r="59" spans="1:12">
      <c r="H59" s="24"/>
    </row>
    <row r="60" spans="1:12">
      <c r="H60" s="24"/>
    </row>
    <row r="61" spans="1:12">
      <c r="H61" s="24"/>
    </row>
    <row r="62" spans="1:12">
      <c r="H62" s="24"/>
    </row>
    <row r="65" spans="8:8">
      <c r="H65" s="24"/>
    </row>
  </sheetData>
  <mergeCells count="57">
    <mergeCell ref="A55:E55"/>
    <mergeCell ref="A56:E56"/>
    <mergeCell ref="A51:E51"/>
    <mergeCell ref="A52:F52"/>
    <mergeCell ref="G52:G54"/>
    <mergeCell ref="H52:H54"/>
    <mergeCell ref="A53:F53"/>
    <mergeCell ref="A54:F54"/>
    <mergeCell ref="A46:A47"/>
    <mergeCell ref="B46:B47"/>
    <mergeCell ref="C46:D47"/>
    <mergeCell ref="C48:D48"/>
    <mergeCell ref="A49:F49"/>
    <mergeCell ref="A50:E50"/>
    <mergeCell ref="C44:D45"/>
    <mergeCell ref="A31:F31"/>
    <mergeCell ref="A32:D32"/>
    <mergeCell ref="E32:F32"/>
    <mergeCell ref="A33:D33"/>
    <mergeCell ref="E33:F33"/>
    <mergeCell ref="A34:A45"/>
    <mergeCell ref="C34:D34"/>
    <mergeCell ref="B35:B45"/>
    <mergeCell ref="C35:D35"/>
    <mergeCell ref="C36:D36"/>
    <mergeCell ref="C37:D38"/>
    <mergeCell ref="C39:D39"/>
    <mergeCell ref="C40:D40"/>
    <mergeCell ref="C41:D42"/>
    <mergeCell ref="C43:D43"/>
    <mergeCell ref="F16:H16"/>
    <mergeCell ref="A17:A30"/>
    <mergeCell ref="B17:C30"/>
    <mergeCell ref="D17:D18"/>
    <mergeCell ref="D19:D20"/>
    <mergeCell ref="D22:D23"/>
    <mergeCell ref="D24:D25"/>
    <mergeCell ref="D26:D27"/>
    <mergeCell ref="D28:D29"/>
    <mergeCell ref="A16:E16"/>
    <mergeCell ref="B11:C11"/>
    <mergeCell ref="B12:C12"/>
    <mergeCell ref="A13:E13"/>
    <mergeCell ref="A14:E14"/>
    <mergeCell ref="A15:E15"/>
    <mergeCell ref="G1:H1"/>
    <mergeCell ref="A4:E4"/>
    <mergeCell ref="B10:C10"/>
    <mergeCell ref="A1:A3"/>
    <mergeCell ref="B1:C3"/>
    <mergeCell ref="D1:D3"/>
    <mergeCell ref="E1:E3"/>
    <mergeCell ref="B5:C5"/>
    <mergeCell ref="B6:C6"/>
    <mergeCell ref="B7:C7"/>
    <mergeCell ref="B8:C8"/>
    <mergeCell ref="B9:C9"/>
  </mergeCells>
  <pageMargins left="0.70866141732283472" right="0.70866141732283472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звіт  І півріччя</vt:lpstr>
      <vt:lpstr>звітІ-ІІ-111кв 2022</vt:lpstr>
      <vt:lpstr>9 місяців 2021</vt:lpstr>
      <vt:lpstr>рік</vt:lpstr>
      <vt:lpstr>'звіт  І півріччя'!Область_печати</vt:lpstr>
      <vt:lpstr>'звітІ-ІІ-111кв 2022'!Область_печати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2023-11-28T13:57:01Z</dcterms:modified>
</cp:coreProperties>
</file>