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8F09B75-EB90-4B04-BBF4-F6A76E657F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договори" sheetId="1" r:id="rId1"/>
  </sheets>
  <calcPr calcId="191029"/>
</workbook>
</file>

<file path=xl/calcChain.xml><?xml version="1.0" encoding="utf-8"?>
<calcChain xmlns="http://schemas.openxmlformats.org/spreadsheetml/2006/main">
  <c r="Z61" i="1" l="1"/>
  <c r="N61" i="1"/>
  <c r="AB93" i="1" l="1"/>
  <c r="P93" i="1"/>
  <c r="Z45" i="1"/>
  <c r="N45" i="1"/>
  <c r="G65" i="1"/>
  <c r="AC117" i="1"/>
  <c r="Q117" i="1"/>
  <c r="AB106" i="1"/>
  <c r="P106" i="1"/>
  <c r="AF116" i="1"/>
  <c r="AG116" i="1" s="1"/>
  <c r="U138" i="1"/>
  <c r="AC98" i="1"/>
  <c r="Q98" i="1"/>
  <c r="Z104" i="1"/>
  <c r="N104" i="1"/>
  <c r="Z72" i="1"/>
  <c r="N72" i="1"/>
  <c r="AC104" i="1"/>
  <c r="Q104" i="1"/>
  <c r="Z111" i="1"/>
  <c r="N111" i="1"/>
  <c r="Z48" i="1"/>
  <c r="N48" i="1"/>
  <c r="Z43" i="1"/>
  <c r="N43" i="1"/>
  <c r="Z49" i="1"/>
  <c r="N49" i="1"/>
  <c r="G48" i="1"/>
  <c r="Z129" i="1"/>
  <c r="N129" i="1"/>
  <c r="AC100" i="1"/>
  <c r="Q100" i="1"/>
  <c r="Z120" i="1"/>
  <c r="N120" i="1"/>
  <c r="AD125" i="1"/>
  <c r="R125" i="1"/>
  <c r="J151" i="1"/>
  <c r="I151" i="1"/>
  <c r="G151" i="1"/>
  <c r="AC151" i="1" l="1"/>
  <c r="U151" i="1"/>
  <c r="AB107" i="1"/>
  <c r="P107" i="1"/>
  <c r="T138" i="1" l="1"/>
  <c r="AC93" i="1"/>
  <c r="Q93" i="1"/>
  <c r="AC115" i="1"/>
  <c r="Q115" i="1"/>
  <c r="AF133" i="1"/>
  <c r="AG133" i="1" s="1"/>
  <c r="O138" i="1"/>
  <c r="G149" i="1" l="1"/>
  <c r="AF132" i="1"/>
  <c r="AG132" i="1" s="1"/>
  <c r="J148" i="1"/>
  <c r="I148" i="1"/>
  <c r="G148" i="1"/>
  <c r="O148" i="1"/>
  <c r="AF157" i="1"/>
  <c r="AG157" i="1" s="1"/>
  <c r="AF156" i="1"/>
  <c r="AG156" i="1" s="1"/>
  <c r="AA151" i="1" l="1"/>
  <c r="AF131" i="1"/>
  <c r="AG131" i="1" s="1"/>
  <c r="G143" i="1" l="1"/>
  <c r="G142" i="1"/>
  <c r="K165" i="1"/>
  <c r="AF162" i="1"/>
  <c r="AG162" i="1" s="1"/>
  <c r="AF163" i="1"/>
  <c r="AG163" i="1" s="1"/>
  <c r="AF164" i="1"/>
  <c r="AG164" i="1" s="1"/>
  <c r="AF165" i="1"/>
  <c r="AG165" i="1" s="1"/>
  <c r="AF166" i="1"/>
  <c r="AF161" i="1"/>
  <c r="AG161" i="1" s="1"/>
  <c r="H151" i="1"/>
  <c r="H148" i="1"/>
  <c r="H143" i="1"/>
  <c r="H142" i="1"/>
  <c r="H138" i="1"/>
  <c r="H105" i="1"/>
  <c r="AC125" i="1"/>
  <c r="Q125" i="1"/>
  <c r="Q107" i="1"/>
  <c r="T151" i="1"/>
  <c r="AA149" i="1"/>
  <c r="O149" i="1"/>
  <c r="T143" i="1"/>
  <c r="AA143" i="1"/>
  <c r="T142" i="1"/>
  <c r="AA142" i="1"/>
  <c r="AF130" i="1"/>
  <c r="AG130" i="1" s="1"/>
  <c r="T129" i="1"/>
  <c r="AF129" i="1" s="1"/>
  <c r="AG129" i="1" s="1"/>
  <c r="AF128" i="1"/>
  <c r="AG128" i="1" s="1"/>
  <c r="AF127" i="1"/>
  <c r="AG127" i="1" s="1"/>
  <c r="AF126" i="1"/>
  <c r="AG126" i="1" s="1"/>
  <c r="T125" i="1"/>
  <c r="AF124" i="1"/>
  <c r="AG124" i="1" s="1"/>
  <c r="T123" i="1"/>
  <c r="AF123" i="1" s="1"/>
  <c r="AG123" i="1" s="1"/>
  <c r="T122" i="1"/>
  <c r="AF122" i="1" s="1"/>
  <c r="AG122" i="1" s="1"/>
  <c r="T121" i="1"/>
  <c r="AF121" i="1" s="1"/>
  <c r="AG121" i="1" s="1"/>
  <c r="T104" i="1"/>
  <c r="T120" i="1"/>
  <c r="AF120" i="1" s="1"/>
  <c r="AG120" i="1" s="1"/>
  <c r="AF119" i="1"/>
  <c r="AG119" i="1" s="1"/>
  <c r="T118" i="1"/>
  <c r="AF118" i="1" s="1"/>
  <c r="AG118" i="1" s="1"/>
  <c r="AF134" i="1"/>
  <c r="AG134" i="1" s="1"/>
  <c r="T117" i="1"/>
  <c r="AF117" i="1" s="1"/>
  <c r="AG117" i="1" s="1"/>
  <c r="T115" i="1"/>
  <c r="AF114" i="1"/>
  <c r="AG114" i="1" s="1"/>
  <c r="AI142" i="1" l="1"/>
  <c r="AI143" i="1"/>
  <c r="AF125" i="1"/>
  <c r="AG125" i="1" s="1"/>
  <c r="AF115" i="1"/>
  <c r="AG115" i="1" s="1"/>
  <c r="AF113" i="1"/>
  <c r="AG113" i="1" s="1"/>
  <c r="AF112" i="1"/>
  <c r="AG112" i="1" s="1"/>
  <c r="AF66" i="1"/>
  <c r="AG66" i="1" s="1"/>
  <c r="AF65" i="1"/>
  <c r="AG65" i="1" s="1"/>
  <c r="T48" i="1"/>
  <c r="T64" i="1"/>
  <c r="AF64" i="1" s="1"/>
  <c r="AG64" i="1" s="1"/>
  <c r="T63" i="1"/>
  <c r="AF63" i="1" s="1"/>
  <c r="AG63" i="1" s="1"/>
  <c r="AF62" i="1"/>
  <c r="AG62" i="1" s="1"/>
  <c r="T61" i="1"/>
  <c r="AF61" i="1" s="1"/>
  <c r="AG61" i="1" s="1"/>
  <c r="AF60" i="1"/>
  <c r="AG60" i="1" s="1"/>
  <c r="T46" i="1"/>
  <c r="T59" i="1"/>
  <c r="AF59" i="1" s="1"/>
  <c r="AG59" i="1" s="1"/>
  <c r="T58" i="1"/>
  <c r="AF58" i="1" s="1"/>
  <c r="H58" i="1"/>
  <c r="G58" i="1"/>
  <c r="AF57" i="1"/>
  <c r="AG57" i="1" s="1"/>
  <c r="AF67" i="1"/>
  <c r="AG67" i="1" s="1"/>
  <c r="AG58" i="1" l="1"/>
  <c r="AF56" i="1"/>
  <c r="AG56" i="1" s="1"/>
  <c r="AF55" i="1"/>
  <c r="AG55" i="1" s="1"/>
  <c r="AF54" i="1" l="1"/>
  <c r="AG54" i="1" s="1"/>
  <c r="AF53" i="1" l="1"/>
  <c r="AG53" i="1" s="1"/>
  <c r="AF52" i="1"/>
  <c r="AG52" i="1" s="1"/>
  <c r="AF51" i="1"/>
  <c r="AG51" i="1" s="1"/>
  <c r="AF50" i="1"/>
  <c r="AG50" i="1" s="1"/>
  <c r="T47" i="1"/>
  <c r="T43" i="1"/>
  <c r="AF30" i="1" l="1"/>
  <c r="AG30" i="1" s="1"/>
  <c r="T72" i="1"/>
  <c r="AI72" i="1" s="1"/>
  <c r="T148" i="1" l="1"/>
  <c r="AE43" i="1"/>
  <c r="S43" i="1"/>
  <c r="Y43" i="1"/>
  <c r="M43" i="1"/>
  <c r="Y49" i="1"/>
  <c r="AF49" i="1" s="1"/>
  <c r="AG49" i="1" s="1"/>
  <c r="M49" i="1"/>
  <c r="Y47" i="1"/>
  <c r="M47" i="1"/>
  <c r="AF111" i="1" l="1"/>
  <c r="AG111" i="1" s="1"/>
  <c r="AE101" i="1"/>
  <c r="S101" i="1"/>
  <c r="AA101" i="1" l="1"/>
  <c r="O101" i="1"/>
  <c r="AE100" i="1"/>
  <c r="S100" i="1"/>
  <c r="AE98" i="1"/>
  <c r="S98" i="1"/>
  <c r="AE110" i="1"/>
  <c r="AF110" i="1" s="1"/>
  <c r="AG110" i="1" s="1"/>
  <c r="S110" i="1"/>
  <c r="AF109" i="1"/>
  <c r="AG109" i="1" s="1"/>
  <c r="AF108" i="1"/>
  <c r="AG108" i="1" s="1"/>
  <c r="AE107" i="1"/>
  <c r="AF107" i="1" s="1"/>
  <c r="AG107" i="1" s="1"/>
  <c r="S107" i="1"/>
  <c r="AE93" i="1"/>
  <c r="S93" i="1"/>
  <c r="AE106" i="1"/>
  <c r="AF106" i="1" s="1"/>
  <c r="AG106" i="1" s="1"/>
  <c r="S106" i="1"/>
  <c r="AF29" i="1"/>
  <c r="AG29" i="1" s="1"/>
  <c r="AF28" i="1"/>
  <c r="AG28" i="1" s="1"/>
  <c r="AF27" i="1"/>
  <c r="AG27" i="1" s="1"/>
  <c r="AA148" i="1"/>
  <c r="J138" i="1"/>
  <c r="AF105" i="1"/>
  <c r="AG105" i="1" s="1"/>
  <c r="AF151" i="1"/>
  <c r="AG151" i="1" s="1"/>
  <c r="AI151" i="1"/>
  <c r="AK150" i="1"/>
  <c r="J150" i="1"/>
  <c r="H150" i="1"/>
  <c r="G150" i="1"/>
  <c r="AF26" i="1"/>
  <c r="AG26" i="1" s="1"/>
  <c r="AI150" i="1" l="1"/>
  <c r="AA104" i="1"/>
  <c r="O104" i="1"/>
  <c r="AA150" i="1"/>
  <c r="AF25" i="1"/>
  <c r="AG25" i="1" s="1"/>
  <c r="Y72" i="1"/>
  <c r="AF72" i="1" s="1"/>
  <c r="AG72" i="1" s="1"/>
  <c r="M72" i="1"/>
  <c r="AF48" i="1"/>
  <c r="AG48" i="1" s="1"/>
  <c r="AF47" i="1"/>
  <c r="AG47" i="1" s="1"/>
  <c r="T150" i="1" l="1"/>
  <c r="AF104" i="1"/>
  <c r="AG104" i="1" s="1"/>
  <c r="AF24" i="1"/>
  <c r="AG24" i="1" s="1"/>
  <c r="AF23" i="1"/>
  <c r="AG23" i="1" s="1"/>
  <c r="AF103" i="1"/>
  <c r="AG103" i="1" s="1"/>
  <c r="AA138" i="1"/>
  <c r="AG167" i="1"/>
  <c r="AF167" i="1"/>
  <c r="AE167" i="1"/>
  <c r="AA167" i="1"/>
  <c r="Y167" i="1"/>
  <c r="W167" i="1"/>
  <c r="V167" i="1"/>
  <c r="T167" i="1"/>
  <c r="S167" i="1"/>
  <c r="O167" i="1"/>
  <c r="M167" i="1"/>
  <c r="K167" i="1"/>
  <c r="J167" i="1"/>
  <c r="H167" i="1"/>
  <c r="G167" i="1"/>
  <c r="AF102" i="1"/>
  <c r="AG102" i="1" s="1"/>
  <c r="AF46" i="1"/>
  <c r="AG46" i="1" s="1"/>
  <c r="AF45" i="1"/>
  <c r="AG45" i="1" s="1"/>
  <c r="AF44" i="1"/>
  <c r="AG44" i="1" s="1"/>
  <c r="AF43" i="1" l="1"/>
  <c r="AG43" i="1" s="1"/>
  <c r="AF22" i="1"/>
  <c r="AG22" i="1" s="1"/>
  <c r="AF21" i="1" l="1"/>
  <c r="AG21" i="1" s="1"/>
  <c r="AF20" i="1"/>
  <c r="AG20" i="1" s="1"/>
  <c r="AF19" i="1"/>
  <c r="AG19" i="1" s="1"/>
  <c r="AA140" i="1"/>
  <c r="AF18" i="1"/>
  <c r="AG18" i="1" s="1"/>
  <c r="AF101" i="1"/>
  <c r="AG101" i="1" s="1"/>
  <c r="AA100" i="1"/>
  <c r="AF100" i="1" s="1"/>
  <c r="AG100" i="1" s="1"/>
  <c r="O100" i="1"/>
  <c r="AA99" i="1"/>
  <c r="AF99" i="1" s="1"/>
  <c r="AG99" i="1" s="1"/>
  <c r="O99" i="1"/>
  <c r="AF98" i="1"/>
  <c r="AG98" i="1" s="1"/>
  <c r="Y71" i="1"/>
  <c r="AF71" i="1" s="1"/>
  <c r="M71" i="1"/>
  <c r="M75" i="1" s="1"/>
  <c r="Y42" i="1"/>
  <c r="AF42" i="1" s="1"/>
  <c r="AG42" i="1" s="1"/>
  <c r="M42" i="1"/>
  <c r="AF41" i="1"/>
  <c r="AG41" i="1" s="1"/>
  <c r="AF40" i="1"/>
  <c r="AG40" i="1" s="1"/>
  <c r="Y39" i="1"/>
  <c r="AF39" i="1" s="1"/>
  <c r="AG39" i="1" s="1"/>
  <c r="M39" i="1"/>
  <c r="Y38" i="1"/>
  <c r="M38" i="1"/>
  <c r="AF17" i="1"/>
  <c r="AG17" i="1" s="1"/>
  <c r="AF97" i="1"/>
  <c r="AG97" i="1" s="1"/>
  <c r="H159" i="1"/>
  <c r="J159" i="1"/>
  <c r="K159" i="1"/>
  <c r="M159" i="1"/>
  <c r="O159" i="1"/>
  <c r="S159" i="1"/>
  <c r="T159" i="1"/>
  <c r="V159" i="1"/>
  <c r="W159" i="1"/>
  <c r="Y159" i="1"/>
  <c r="AA159" i="1"/>
  <c r="AE159" i="1"/>
  <c r="AF159" i="1"/>
  <c r="AG159" i="1"/>
  <c r="AF96" i="1"/>
  <c r="AG96" i="1" s="1"/>
  <c r="K154" i="1"/>
  <c r="M154" i="1"/>
  <c r="S154" i="1"/>
  <c r="V154" i="1"/>
  <c r="W154" i="1"/>
  <c r="Y154" i="1"/>
  <c r="AE154" i="1"/>
  <c r="H145" i="1"/>
  <c r="J145" i="1"/>
  <c r="K145" i="1"/>
  <c r="M145" i="1"/>
  <c r="O145" i="1"/>
  <c r="S145" i="1"/>
  <c r="V145" i="1"/>
  <c r="W145" i="1"/>
  <c r="Y145" i="1"/>
  <c r="AE145" i="1"/>
  <c r="K140" i="1"/>
  <c r="M140" i="1"/>
  <c r="S140" i="1"/>
  <c r="V140" i="1"/>
  <c r="W140" i="1"/>
  <c r="Y140" i="1"/>
  <c r="AE140" i="1"/>
  <c r="H135" i="1"/>
  <c r="J135" i="1"/>
  <c r="K135" i="1"/>
  <c r="M135" i="1"/>
  <c r="S135" i="1"/>
  <c r="T135" i="1"/>
  <c r="V135" i="1"/>
  <c r="W135" i="1"/>
  <c r="Y135" i="1"/>
  <c r="AE135" i="1"/>
  <c r="H75" i="1"/>
  <c r="J75" i="1"/>
  <c r="K75" i="1"/>
  <c r="O75" i="1"/>
  <c r="S75" i="1"/>
  <c r="T75" i="1"/>
  <c r="V75" i="1"/>
  <c r="W75" i="1"/>
  <c r="AA75" i="1"/>
  <c r="AE75" i="1"/>
  <c r="G75" i="1"/>
  <c r="H69" i="1"/>
  <c r="J69" i="1"/>
  <c r="K69" i="1"/>
  <c r="O69" i="1"/>
  <c r="S69" i="1"/>
  <c r="T69" i="1"/>
  <c r="V69" i="1"/>
  <c r="W69" i="1"/>
  <c r="AA69" i="1"/>
  <c r="AE69" i="1"/>
  <c r="H33" i="1"/>
  <c r="J33" i="1"/>
  <c r="K33" i="1"/>
  <c r="M33" i="1"/>
  <c r="O33" i="1"/>
  <c r="S33" i="1"/>
  <c r="T33" i="1"/>
  <c r="V33" i="1"/>
  <c r="W33" i="1"/>
  <c r="Y33" i="1"/>
  <c r="AA33" i="1"/>
  <c r="AE33" i="1"/>
  <c r="Y75" i="1" l="1"/>
  <c r="Y69" i="1"/>
  <c r="AG71" i="1"/>
  <c r="AG75" i="1" s="1"/>
  <c r="AF75" i="1"/>
  <c r="M69" i="1"/>
  <c r="AF38" i="1"/>
  <c r="AG38" i="1" s="1"/>
  <c r="AA145" i="1"/>
  <c r="AF16" i="1" l="1"/>
  <c r="AG16" i="1" s="1"/>
  <c r="AF15" i="1"/>
  <c r="AG15" i="1" s="1"/>
  <c r="AF14" i="1"/>
  <c r="AG14" i="1" s="1"/>
  <c r="AF95" i="1"/>
  <c r="AG95" i="1" s="1"/>
  <c r="AF13" i="1"/>
  <c r="AG13" i="1" s="1"/>
  <c r="T145" i="1" l="1"/>
  <c r="AF94" i="1"/>
  <c r="AG94" i="1" s="1"/>
  <c r="AF12" i="1" l="1"/>
  <c r="AG12" i="1" s="1"/>
  <c r="T154" i="1" l="1"/>
  <c r="O154" i="1" l="1"/>
  <c r="AA154" i="1"/>
  <c r="O140" i="1"/>
  <c r="AF37" i="1" l="1"/>
  <c r="AG37" i="1" s="1"/>
  <c r="AF36" i="1"/>
  <c r="AF11" i="1"/>
  <c r="AG11" i="1" s="1"/>
  <c r="AF10" i="1"/>
  <c r="AG10" i="1" s="1"/>
  <c r="AF143" i="1"/>
  <c r="AG143" i="1" s="1"/>
  <c r="AF9" i="1"/>
  <c r="AG9" i="1" s="1"/>
  <c r="G159" i="1"/>
  <c r="G154" i="1"/>
  <c r="AF150" i="1"/>
  <c r="AG150" i="1" s="1"/>
  <c r="AF153" i="1"/>
  <c r="AG153" i="1" s="1"/>
  <c r="G145" i="1"/>
  <c r="AF144" i="1"/>
  <c r="AG144" i="1" s="1"/>
  <c r="G140" i="1"/>
  <c r="AF139" i="1"/>
  <c r="AG139" i="1" s="1"/>
  <c r="G135" i="1"/>
  <c r="G69" i="1"/>
  <c r="AF68" i="1"/>
  <c r="AG68" i="1" s="1"/>
  <c r="G33" i="1"/>
  <c r="AF32" i="1"/>
  <c r="AG32" i="1" s="1"/>
  <c r="AF31" i="1"/>
  <c r="AG31" i="1" s="1"/>
  <c r="AF147" i="1"/>
  <c r="AF93" i="1"/>
  <c r="AG93" i="1" s="1"/>
  <c r="AA90" i="1"/>
  <c r="AF90" i="1" s="1"/>
  <c r="AG90" i="1" s="1"/>
  <c r="O90" i="1"/>
  <c r="AF92" i="1"/>
  <c r="AG92" i="1" s="1"/>
  <c r="AA79" i="1"/>
  <c r="AF79" i="1" s="1"/>
  <c r="AG79" i="1" s="1"/>
  <c r="O79" i="1"/>
  <c r="AA91" i="1"/>
  <c r="AF91" i="1" s="1"/>
  <c r="AG91" i="1" s="1"/>
  <c r="O91" i="1"/>
  <c r="AA89" i="1"/>
  <c r="AF89" i="1" s="1"/>
  <c r="AG89" i="1" s="1"/>
  <c r="O89" i="1"/>
  <c r="AA88" i="1"/>
  <c r="AF88" i="1" s="1"/>
  <c r="AG88" i="1" s="1"/>
  <c r="O88" i="1"/>
  <c r="AA85" i="1"/>
  <c r="AF85" i="1" s="1"/>
  <c r="AG85" i="1" s="1"/>
  <c r="O85" i="1"/>
  <c r="AF87" i="1"/>
  <c r="AG87" i="1" s="1"/>
  <c r="AF86" i="1"/>
  <c r="AG86" i="1" s="1"/>
  <c r="AA83" i="1"/>
  <c r="AF83" i="1" s="1"/>
  <c r="AG83" i="1" s="1"/>
  <c r="O83" i="1"/>
  <c r="AF84" i="1"/>
  <c r="AG84" i="1" s="1"/>
  <c r="AA82" i="1"/>
  <c r="AF82" i="1" s="1"/>
  <c r="AG82" i="1" s="1"/>
  <c r="O82" i="1"/>
  <c r="AF81" i="1"/>
  <c r="AG81" i="1" s="1"/>
  <c r="AA80" i="1"/>
  <c r="AF80" i="1" s="1"/>
  <c r="AG80" i="1" s="1"/>
  <c r="O80" i="1"/>
  <c r="AF148" i="1"/>
  <c r="AG148" i="1" s="1"/>
  <c r="AF138" i="1"/>
  <c r="AG138" i="1" s="1"/>
  <c r="AA78" i="1"/>
  <c r="O78" i="1"/>
  <c r="AF149" i="1"/>
  <c r="AG149" i="1" s="1"/>
  <c r="AF77" i="1"/>
  <c r="AG147" i="1" l="1"/>
  <c r="AG154" i="1" s="1"/>
  <c r="AF154" i="1"/>
  <c r="O135" i="1"/>
  <c r="AG77" i="1"/>
  <c r="AF78" i="1"/>
  <c r="AG78" i="1" s="1"/>
  <c r="AA135" i="1"/>
  <c r="AG36" i="1"/>
  <c r="AF142" i="1"/>
  <c r="AF145" i="1" s="1"/>
  <c r="AF35" i="1"/>
  <c r="AF69" i="1" s="1"/>
  <c r="AF135" i="1" l="1"/>
  <c r="AG135" i="1"/>
  <c r="AG142" i="1"/>
  <c r="AG145" i="1" s="1"/>
  <c r="AG35" i="1"/>
  <c r="AG69" i="1" s="1"/>
  <c r="AF7" i="1" l="1"/>
  <c r="AG7" i="1" s="1"/>
  <c r="AF8" i="1"/>
  <c r="AG8" i="1" s="1"/>
  <c r="AF6" i="1" l="1"/>
  <c r="AG6" i="1" s="1"/>
  <c r="AF5" i="1"/>
  <c r="T137" i="1"/>
  <c r="T140" i="1" s="1"/>
  <c r="J149" i="1"/>
  <c r="J154" i="1" s="1"/>
  <c r="H149" i="1"/>
  <c r="H154" i="1" s="1"/>
  <c r="J140" i="1"/>
  <c r="H140" i="1"/>
  <c r="AF33" i="1" l="1"/>
  <c r="AF137" i="1"/>
  <c r="AF140" i="1" s="1"/>
  <c r="AG5" i="1"/>
  <c r="AG33" i="1" s="1"/>
  <c r="AG137" i="1" l="1"/>
  <c r="AG140" i="1" s="1"/>
</calcChain>
</file>

<file path=xl/sharedStrings.xml><?xml version="1.0" encoding="utf-8"?>
<sst xmlns="http://schemas.openxmlformats.org/spreadsheetml/2006/main" count="476" uniqueCount="376">
  <si>
    <t>№ п/п</t>
  </si>
  <si>
    <t>Номер договору</t>
  </si>
  <si>
    <t>КЕКВ 2210</t>
  </si>
  <si>
    <t>Предмет договору</t>
  </si>
  <si>
    <t>Загальна сума договору</t>
  </si>
  <si>
    <t>НСЗУ</t>
  </si>
  <si>
    <t>Разом сплачено</t>
  </si>
  <si>
    <t>в тому числі сума договору по:</t>
  </si>
  <si>
    <t>КЕКВ 2220</t>
  </si>
  <si>
    <t>КЕКВ 2230</t>
  </si>
  <si>
    <t>КЕКВ 2240</t>
  </si>
  <si>
    <t>КЕКВ 2271</t>
  </si>
  <si>
    <t>КЕКВ 2272</t>
  </si>
  <si>
    <t>КЕКВ 2273</t>
  </si>
  <si>
    <t>РАЗОМ КЕКВ 2210</t>
  </si>
  <si>
    <t>РАЗОМ КЕКВ 2220</t>
  </si>
  <si>
    <t>РАЗОМ КЕКВ 2230</t>
  </si>
  <si>
    <t>РАЗОМ КЕКВ 2240</t>
  </si>
  <si>
    <t>РАЗОМ КЕКВ 2271</t>
  </si>
  <si>
    <t>РАЗОМ КЕКВ 2272</t>
  </si>
  <si>
    <t>РАЗОМ КЕКВ 2273</t>
  </si>
  <si>
    <t>Термін дії</t>
  </si>
  <si>
    <t>21500098РЕ</t>
  </si>
  <si>
    <t>ТОВ "СК ЕНЕРДЖІ ГРУП"</t>
  </si>
  <si>
    <t xml:space="preserve">електрична анергія </t>
  </si>
  <si>
    <t>послуги з постачання теплової енергії</t>
  </si>
  <si>
    <t>37510</t>
  </si>
  <si>
    <t>31.12.23</t>
  </si>
  <si>
    <t>ФОП Гармаш П.О.</t>
  </si>
  <si>
    <t>КЕКВ 2282</t>
  </si>
  <si>
    <t>РАЗОМ КЕКВ 2282</t>
  </si>
  <si>
    <t>ФОП Мирошниченко А.С.</t>
  </si>
  <si>
    <t>бланки</t>
  </si>
  <si>
    <t>папір</t>
  </si>
  <si>
    <t>3-т-23</t>
  </si>
  <si>
    <t>1-т-23</t>
  </si>
  <si>
    <t>31.12.24</t>
  </si>
  <si>
    <t xml:space="preserve">послуги з централізованого водопостачання </t>
  </si>
  <si>
    <t xml:space="preserve">послуги з централізованого водовідведення </t>
  </si>
  <si>
    <t>1-т-24</t>
  </si>
  <si>
    <t>перетікання реактивної електричної енергії</t>
  </si>
  <si>
    <t>ТОВ "СОФТ ЕНЕРДЖІ" д.уг.№2в.17.01.24</t>
  </si>
  <si>
    <t>АТ "Полтаваобленерго" д.уг.№2в.17.01.24</t>
  </si>
  <si>
    <t>62248/2024</t>
  </si>
  <si>
    <t>АТ "Полтаваобленерго" д.уг.№1в.15.01.24</t>
  </si>
  <si>
    <t>ТОВ "Дніпровські енергетичні послуги" Звіт без системи закупівель UA-2023-12-11-009650-a, д.уг.№1в.17.01.24</t>
  </si>
  <si>
    <t>папір, стрижень гелевий, скотч</t>
  </si>
  <si>
    <t>гофра, кріплення, коліно, перехід</t>
  </si>
  <si>
    <t>28-т-23</t>
  </si>
  <si>
    <t>ТОВ "Поліграф-Сервіс" Звіт про результати проведення процедури закупівлі UA-2023-11-12-002528-a від 13.12.2023</t>
  </si>
  <si>
    <t>11.01.24</t>
  </si>
  <si>
    <t>19.01.24</t>
  </si>
  <si>
    <t>11-т-23</t>
  </si>
  <si>
    <t>швидкі тести</t>
  </si>
  <si>
    <t>АТ КБ "Індустріалбанк"</t>
  </si>
  <si>
    <t>ЗП/0500/40/07</t>
  </si>
  <si>
    <t>сплата комісії 0 % від суми перерахування заробітної плати працівникам КНМП "Кременчуцька міська дитяча лікарня"</t>
  </si>
  <si>
    <t>38-04/66-2204</t>
  </si>
  <si>
    <t>АТ "Укртелеком"</t>
  </si>
  <si>
    <t>комунікаційні послуги</t>
  </si>
  <si>
    <t>КНМП "Лікарня інтенсивного лікування "Кременчуцька"</t>
  </si>
  <si>
    <t>ПП "Вайтмед"</t>
  </si>
  <si>
    <t>4-т-23</t>
  </si>
  <si>
    <t>ТОВ "ДМ Проект"</t>
  </si>
  <si>
    <t>09/01</t>
  </si>
  <si>
    <t>поточний ремонт мийно-дезінфекційної машини</t>
  </si>
  <si>
    <t>ТОВ "Юридична консультація "ЛіАС"</t>
  </si>
  <si>
    <t>юридичні послуги</t>
  </si>
  <si>
    <t>ФОП Загорулько І.В.</t>
  </si>
  <si>
    <t>виїзд, діагностика дезінфектора</t>
  </si>
  <si>
    <t>ТОВ "Еко Нова"</t>
  </si>
  <si>
    <t>ЕН230173-П</t>
  </si>
  <si>
    <t>збирання з подальшою утилізацією медичних відходів</t>
  </si>
  <si>
    <t>ФОП Голованов С.А.</t>
  </si>
  <si>
    <t>технічний огляд вентеляційних установок</t>
  </si>
  <si>
    <t>ДП СРБУ "Кременчукліфтсервіс"</t>
  </si>
  <si>
    <t>технічне обслуговування ліфтів</t>
  </si>
  <si>
    <t>цілодобове спостерігання за пожежною сигналізацією</t>
  </si>
  <si>
    <t>ПП "Арт-інжиніринг"</t>
  </si>
  <si>
    <t>ФОП Мельник С.А.</t>
  </si>
  <si>
    <t>супроводження програмного забезпечення</t>
  </si>
  <si>
    <t>ТОВ "Пожежне спостерігання"</t>
  </si>
  <si>
    <t>1823/23</t>
  </si>
  <si>
    <t>проведення профілактичного медичного огляду, рентгенівська комп'ютерна томографія</t>
  </si>
  <si>
    <t>ФОП Павлов М.В.</t>
  </si>
  <si>
    <t>608S</t>
  </si>
  <si>
    <t>обслуговування програмного забезпечення</t>
  </si>
  <si>
    <t>1823/24</t>
  </si>
  <si>
    <t>ТОВ "СОФТ ЕНЕРДЖІ" д.уг.№1/1в.09.01.24</t>
  </si>
  <si>
    <t>ФОП Різниченко Ю.М.</t>
  </si>
  <si>
    <t>фільтр масляний двигуна, олива моторна, очисник скла зимовий, фільтр тонкої очістки палива, фільтр повітряеий</t>
  </si>
  <si>
    <t>06/2024</t>
  </si>
  <si>
    <t>ФОП Маковецький Д.С.</t>
  </si>
  <si>
    <t>електрод до аналізатора електролітів</t>
  </si>
  <si>
    <t>174</t>
  </si>
  <si>
    <t>набір кранбукс, кріплення кришки</t>
  </si>
  <si>
    <t>30/23 ОС</t>
  </si>
  <si>
    <t>ФОП Булатніков В.Є.</t>
  </si>
  <si>
    <t>антибактеріальне рідке мило</t>
  </si>
  <si>
    <t>16/23ОС</t>
  </si>
  <si>
    <t>засоби дезінфекційні</t>
  </si>
  <si>
    <t>367/23</t>
  </si>
  <si>
    <t>КП "Кременчуцьке комунальне автотранспортне підприємство 1628"</t>
  </si>
  <si>
    <t>послуги з поводження з побутовими відходами</t>
  </si>
  <si>
    <t>02.02.24</t>
  </si>
  <si>
    <t>68</t>
  </si>
  <si>
    <t>бланки медична картка, клінічний аналіз крові</t>
  </si>
  <si>
    <t>ФОП Шехтман О.М.</t>
  </si>
  <si>
    <t>послуги таксі</t>
  </si>
  <si>
    <t>67</t>
  </si>
  <si>
    <t>ФОП Киян В.А.</t>
  </si>
  <si>
    <t>світильники</t>
  </si>
  <si>
    <t>4/24</t>
  </si>
  <si>
    <t>ТОВ "Кременчуцька консалтингова фірма "Боян" ЛТД"</t>
  </si>
  <si>
    <t>оцінка нерухомості</t>
  </si>
  <si>
    <t>66</t>
  </si>
  <si>
    <t>журнали</t>
  </si>
  <si>
    <t>75</t>
  </si>
  <si>
    <t>ФОП Слободяник Т.І.</t>
  </si>
  <si>
    <t>лампи, шланги для води</t>
  </si>
  <si>
    <t>72</t>
  </si>
  <si>
    <t>замки, лампи</t>
  </si>
  <si>
    <t>Дата дого-вору</t>
  </si>
  <si>
    <t>Постачальники</t>
  </si>
  <si>
    <t>м/б</t>
  </si>
  <si>
    <t>вк</t>
  </si>
  <si>
    <t>с/ф м/б</t>
  </si>
  <si>
    <t>с/р</t>
  </si>
  <si>
    <t>б/в</t>
  </si>
  <si>
    <t>Сплачено по:</t>
  </si>
  <si>
    <t>Залишок по договору</t>
  </si>
  <si>
    <t>прання</t>
  </si>
  <si>
    <t>2</t>
  </si>
  <si>
    <t>3</t>
  </si>
  <si>
    <t>7</t>
  </si>
  <si>
    <t>8</t>
  </si>
  <si>
    <t>9</t>
  </si>
  <si>
    <t>10</t>
  </si>
  <si>
    <t>17</t>
  </si>
  <si>
    <t>276</t>
  </si>
  <si>
    <t>ФОП Габерлах Л.С.</t>
  </si>
  <si>
    <t>покіс трав, бур'янів, карантинних рослин</t>
  </si>
  <si>
    <t>73</t>
  </si>
  <si>
    <t>підшипники, сальники</t>
  </si>
  <si>
    <t>25-т-23</t>
  </si>
  <si>
    <t>ФОП Горобець Т.С. ТЗ UA-2023-11-03-011604-a від 21.11.2023</t>
  </si>
  <si>
    <t>лікарські засоби</t>
  </si>
  <si>
    <t>8-т-23</t>
  </si>
  <si>
    <t>ФОП Сипченко О.В. ТЗ UA-2023-01-24-014655-a від 09.02.2023</t>
  </si>
  <si>
    <t>30-т-23</t>
  </si>
  <si>
    <t>ТОВ "Відема-Фарм"</t>
  </si>
  <si>
    <t>медичні матеріали</t>
  </si>
  <si>
    <t>формалін</t>
  </si>
  <si>
    <t>22-т-23</t>
  </si>
  <si>
    <t>ТОВ "Ледум"</t>
  </si>
  <si>
    <t>мікро пробірки</t>
  </si>
  <si>
    <t>17-т-23</t>
  </si>
  <si>
    <t>ТОВ "Понтем.уа"</t>
  </si>
  <si>
    <t>харчування</t>
  </si>
  <si>
    <t>50</t>
  </si>
  <si>
    <t>ТОВ "Аксон+"</t>
  </si>
  <si>
    <t>телефонний зв'язок</t>
  </si>
  <si>
    <t>66-400002204</t>
  </si>
  <si>
    <t>55/24-ПО</t>
  </si>
  <si>
    <t>КП "Муніципальна варта"</t>
  </si>
  <si>
    <t>охоронні послуги</t>
  </si>
  <si>
    <t>Кр-197/24</t>
  </si>
  <si>
    <t>Управління поліції охорони в Полтавській області</t>
  </si>
  <si>
    <t>77</t>
  </si>
  <si>
    <t>господарчі товари</t>
  </si>
  <si>
    <t>82</t>
  </si>
  <si>
    <t>ФОП Одуд Д.С.</t>
  </si>
  <si>
    <t>кабель канал, дюбель, лампа світлодіодна</t>
  </si>
  <si>
    <t>25-СК/11-б</t>
  </si>
  <si>
    <t>ТОВ "Інкам Фінанс"</t>
  </si>
  <si>
    <t>бензин А-95</t>
  </si>
  <si>
    <t>ТОВ "Окіра" ТЗ UA-2023-02-16-009140-а від 06.03.23</t>
  </si>
  <si>
    <t>85</t>
  </si>
  <si>
    <t>87</t>
  </si>
  <si>
    <t>ФОП Остапенко Д.Г.</t>
  </si>
  <si>
    <t>розетка, світлодіодний світильник, світильник лінійний</t>
  </si>
  <si>
    <t>15-т-24</t>
  </si>
  <si>
    <t>медичне обладнання та вироби медичного призначення (медичні матеріали)</t>
  </si>
  <si>
    <t>6-т-24</t>
  </si>
  <si>
    <t>ТОВ "АТ-Фарм"</t>
  </si>
  <si>
    <t>антибіотики</t>
  </si>
  <si>
    <t>7-т-24</t>
  </si>
  <si>
    <t>ТОВ "Медичний центр "М.Т.К."</t>
  </si>
  <si>
    <t>лікарські засоби (розчини)</t>
  </si>
  <si>
    <t>3-з-24</t>
  </si>
  <si>
    <t>наркотики</t>
  </si>
  <si>
    <t>26-03-2024</t>
  </si>
  <si>
    <t>ФОП Риженко І.В.</t>
  </si>
  <si>
    <t>роботи з виконання топографо-геозедичних робіт</t>
  </si>
  <si>
    <t>КЕКВ 3210</t>
  </si>
  <si>
    <r>
      <rPr>
        <b/>
        <sz val="12"/>
        <color rgb="FFFF0000"/>
        <rFont val="Times New Roman"/>
        <family val="1"/>
        <charset val="204"/>
      </rPr>
      <t>ТОВ "Кременергобуд"</t>
    </r>
    <r>
      <rPr>
        <sz val="12"/>
        <color theme="1"/>
        <rFont val="Times New Roman"/>
        <family val="1"/>
        <charset val="204"/>
      </rPr>
      <t xml:space="preserve"> (казначейство р/р UA938201720344391011400041074) КПК 0717322</t>
    </r>
  </si>
  <si>
    <t>27</t>
  </si>
  <si>
    <t>роботи з реконструкції "Реконструкція мереж електроустановок КНМП "Кременчуцька міська дитяча лікарня" у частині встановлення додаткового джерела живлення (дизельного електрогенератора) за адресою вул. Лікаря Парнети, 16"</t>
  </si>
  <si>
    <t>93</t>
  </si>
  <si>
    <t>ФОП Куценко В.М.</t>
  </si>
  <si>
    <t>шиномонтаж, балансування шин</t>
  </si>
  <si>
    <t>4-т-24</t>
  </si>
  <si>
    <t>94</t>
  </si>
  <si>
    <t>лампа, болт, гайка, шайба</t>
  </si>
  <si>
    <t>91</t>
  </si>
  <si>
    <t>набір кранбукс</t>
  </si>
  <si>
    <r>
      <t xml:space="preserve">ТОВ "Відема-Фарм" </t>
    </r>
    <r>
      <rPr>
        <b/>
        <sz val="14"/>
        <color rgb="FFFF0000"/>
        <rFont val="Times New Roman"/>
        <family val="1"/>
        <charset val="204"/>
      </rPr>
      <t>ЗЦП</t>
    </r>
  </si>
  <si>
    <t>28.02.23</t>
  </si>
  <si>
    <t>10-т-23</t>
  </si>
  <si>
    <t>12-т-24</t>
  </si>
  <si>
    <t>12.02.24</t>
  </si>
  <si>
    <t>лікарські засоби (реактиви)</t>
  </si>
  <si>
    <t>2-т-24</t>
  </si>
  <si>
    <t>кайтерингові послуги</t>
  </si>
  <si>
    <t>100</t>
  </si>
  <si>
    <t>ТОВ "Торгівельно-промислове об'єднання "Аріста"</t>
  </si>
  <si>
    <t>датчик електропровідності</t>
  </si>
  <si>
    <t>80</t>
  </si>
  <si>
    <t>ТОВ "Юнім Про"</t>
  </si>
  <si>
    <t>авторський нагляд за дотриманням проектних рішень по об'єкту "Реконструкція мереж електроустановок КНМП "Кременчуцька міська дитяча лікарня" у частині встановлення додаткового джерела живлення (дизельного електрогенератора)</t>
  </si>
  <si>
    <t>101</t>
  </si>
  <si>
    <t>ФОП Баран Л.О.</t>
  </si>
  <si>
    <t>груша до бака</t>
  </si>
  <si>
    <t>4-1/2024</t>
  </si>
  <si>
    <t>ФОП Воловик О.М.</t>
  </si>
  <si>
    <t>технічний нагляд по об'єкту "Реконструкція мереж електроустановок КНМП "Кременчуцька міська дитяча лікарня" у частині встановлення додаткового джерела живлення (дизельного електрогенератора)</t>
  </si>
  <si>
    <t>16-т-24</t>
  </si>
  <si>
    <t>електрична енергія</t>
  </si>
  <si>
    <t>105</t>
  </si>
  <si>
    <t>поточний ремонт із заміни дверних блоків на металопластикові (підготовка об'єкту до опалювального періоду та заходи з енергозбереження) дитячої поліклініки КНМП "КМДЛ" за адресою вул. Лікаря Парнети, 16</t>
  </si>
  <si>
    <t>71</t>
  </si>
  <si>
    <t>ТОВ "Виробничо-комерційне підприємство "Котлогаз" КПК 0712010 р/рUA898201720344381005400041074</t>
  </si>
  <si>
    <t>капітальний ремонт підлоги підвального приміщення основного корпусу будівлі КНМП "КМДЛ" за адресою вул. Лікаря Парнети, 16</t>
  </si>
  <si>
    <t>106</t>
  </si>
  <si>
    <t>ТОВ "Ремонтно-будівельна фірма "Креміньбуд" КПК 0712010 р/рUA898201720344381005400041074</t>
  </si>
  <si>
    <t>88</t>
  </si>
  <si>
    <t>ТОВ "Артметод"</t>
  </si>
  <si>
    <t>акумулятор</t>
  </si>
  <si>
    <t>96</t>
  </si>
  <si>
    <t>ТОВ "Далгакиран компресор Україна"</t>
  </si>
  <si>
    <t>фільтр сепараторний, масляний, повітряний; матеріал панельних фільтрів; олива компресорна</t>
  </si>
  <si>
    <t>102</t>
  </si>
  <si>
    <t>ФОП Василенко І.І.</t>
  </si>
  <si>
    <t>змішувач для води</t>
  </si>
  <si>
    <t>обслуговування програмного забезпечення "Медикаменти"</t>
  </si>
  <si>
    <t>1546</t>
  </si>
  <si>
    <t>ПП "Медінфосервіс"</t>
  </si>
  <si>
    <t>супроводження програмного забезпечення - комп'ютерної програми та бази даних "Облік медичних кадрів України"</t>
  </si>
  <si>
    <t>70</t>
  </si>
  <si>
    <t>ПП "Техноінфомед-2"</t>
  </si>
  <si>
    <t>супроводження програмного забезпечення - комп'ютерної програми та бази даних "Медична статистика"</t>
  </si>
  <si>
    <t>55</t>
  </si>
  <si>
    <t>ФОП Зюбаненко О.В.</t>
  </si>
  <si>
    <t>технічне обслуговування та ремонт офісної техніки</t>
  </si>
  <si>
    <t>78</t>
  </si>
  <si>
    <t>Полтавська обласна організація товариства глухих, Громадська організація "Всеукраїнська організація осіб з інвалідністю зі слуху "Українське товариство глухих"</t>
  </si>
  <si>
    <t>переклад на українську жестову мову</t>
  </si>
  <si>
    <t>НСЗУ ЛІЛ</t>
  </si>
  <si>
    <t>13-т-24</t>
  </si>
  <si>
    <t>15.02.24</t>
  </si>
  <si>
    <t>медичне обладнаня та вироби медичного призначення</t>
  </si>
  <si>
    <r>
      <t xml:space="preserve">ТОВ "Понтем.уа" </t>
    </r>
    <r>
      <rPr>
        <b/>
        <sz val="12"/>
        <color theme="1"/>
        <rFont val="Times New Roman"/>
        <family val="1"/>
        <charset val="204"/>
      </rPr>
      <t>UA-2023-12-18-017149-a від 02.01.24</t>
    </r>
    <r>
      <rPr>
        <sz val="10"/>
        <color theme="1"/>
        <rFont val="Times New Roman"/>
        <family val="1"/>
        <charset val="204"/>
      </rPr>
      <t xml:space="preserve"> д.уг.№1 в.11.06.24</t>
    </r>
  </si>
  <si>
    <t>18-т-24</t>
  </si>
  <si>
    <t>ФОП Волошко М.О.</t>
  </si>
  <si>
    <r>
      <t xml:space="preserve">ТОВ "Відема-Фарм" </t>
    </r>
    <r>
      <rPr>
        <b/>
        <sz val="12"/>
        <color theme="1"/>
        <rFont val="Times New Roman"/>
        <family val="1"/>
        <charset val="204"/>
      </rPr>
      <t>UA-2023-02-14-004583-a від 28.02.23</t>
    </r>
    <r>
      <rPr>
        <sz val="10"/>
        <color theme="1"/>
        <rFont val="Times New Roman"/>
        <family val="1"/>
        <charset val="204"/>
      </rPr>
      <t xml:space="preserve"> д.уг.№8 в.12.06.24</t>
    </r>
  </si>
  <si>
    <t>23.04.24</t>
  </si>
  <si>
    <t>ТОВ "Відема-Фарм" д.уг.№1 в.12.06.24</t>
  </si>
  <si>
    <t>стрічка діаграмна</t>
  </si>
  <si>
    <t>5-т-24</t>
  </si>
  <si>
    <t>ФОП Жук О.В. д.уг.№1 в.12.06.24</t>
  </si>
  <si>
    <t>плівка медична рентгенівська</t>
  </si>
  <si>
    <t>18.01.24</t>
  </si>
  <si>
    <t>ТОВ "Окіра" д.уг.№1 в.12.06.24</t>
  </si>
  <si>
    <t>тести на антиген</t>
  </si>
  <si>
    <t>405</t>
  </si>
  <si>
    <t>Міжлікарняна аптека №212 - філія ПОКП "Полтавафарм" д.уг.№1в.12.06.24</t>
  </si>
  <si>
    <t>Міжлікарняна аптека №207 - філія ПОКП "Полтавафарм" Аптека №212 д.уг.№1в.12.06.24</t>
  </si>
  <si>
    <t>вода очищена</t>
  </si>
  <si>
    <t>22.03.24</t>
  </si>
  <si>
    <t>15.04.24</t>
  </si>
  <si>
    <t>формалін, вода очищена</t>
  </si>
  <si>
    <t>12/01/24-1</t>
  </si>
  <si>
    <t>ТОВ "Кровлекс Плюс" д.уг.№1в.12.06.24</t>
  </si>
  <si>
    <t>концентровані проявник та фіксаж для рентгенплівки</t>
  </si>
  <si>
    <t>12.01.24</t>
  </si>
  <si>
    <t>ТОВ "Белітрейд" д.уг.№1 в.13.06.24</t>
  </si>
  <si>
    <t>9-т-24</t>
  </si>
  <si>
    <t>22.01.24</t>
  </si>
  <si>
    <t>ТОВ "АТ-Фарма" д.уг.№2в.13.06.24</t>
  </si>
  <si>
    <t>ТОВ "Медичний центр "М.Т.К." д.уг.№1в.13.06.24</t>
  </si>
  <si>
    <t>ТОВ "Дезодар" д.уг.№1в.13.06.24</t>
  </si>
  <si>
    <t>11-т-24</t>
  </si>
  <si>
    <t>ТОВ "Дія Фарм" д.уг.№1в.13.06.24</t>
  </si>
  <si>
    <t>17-т-24</t>
  </si>
  <si>
    <t>04.03.24</t>
  </si>
  <si>
    <t>22.11.23</t>
  </si>
  <si>
    <t>ТОВ "Аметрін ФК" д.уг.№1в.13.06.24</t>
  </si>
  <si>
    <t>27-т-23</t>
  </si>
  <si>
    <t>14-т-24</t>
  </si>
  <si>
    <t>19.02.24</t>
  </si>
  <si>
    <t>8-т-24</t>
  </si>
  <si>
    <t>ФОП Голосенко К.В. д.уг.№1в.13.06.24</t>
  </si>
  <si>
    <t>плівка</t>
  </si>
  <si>
    <t>1597/3</t>
  </si>
  <si>
    <t>12.04.24</t>
  </si>
  <si>
    <t>ПрАТ "Лінде Газ Україна" д.уг.№1в.13.06.24</t>
  </si>
  <si>
    <t>кисень газоподібний медичний</t>
  </si>
  <si>
    <t>104</t>
  </si>
  <si>
    <t>ТОВ "Баланс+Сервіс"</t>
  </si>
  <si>
    <t>постачання пакетів оновлення програми "M.E.Doc" модулі звітність та облік ПДВ</t>
  </si>
  <si>
    <t>291</t>
  </si>
  <si>
    <t>ТОВ "СІЕТ ХОЛДІНГ" д.уг.№2 в.14.06.24</t>
  </si>
  <si>
    <t>комп'ютерна програма "Система "CIET-MedControl" - система оперативного управління обміном медичною статистичною інформацією</t>
  </si>
  <si>
    <t>дезінсекція</t>
  </si>
  <si>
    <t>65/1</t>
  </si>
  <si>
    <t>ТОВ "ДЕЗ-СЕРВІС" д.уг.№2 в.14.06.24</t>
  </si>
  <si>
    <t>ДП СРБУ "Кременчукліфтсервіс" д.уг.№1 в.14.06.24</t>
  </si>
  <si>
    <t>цілодобове спостерігання за роботою автоматичної пожежної сигналізації</t>
  </si>
  <si>
    <t>ПП "Арт-Інжиніринг" д.уг.№1 в.14.06.24</t>
  </si>
  <si>
    <t>69</t>
  </si>
  <si>
    <t>КНМП "Лікарня інтенсивного лікування "Кременчуцька" д.уг.№1 в.14.06.24</t>
  </si>
  <si>
    <t>проведення рентгенівської комп'ютерної томографії</t>
  </si>
  <si>
    <t>606942</t>
  </si>
  <si>
    <t>АТ "Полтаваобленерго" д.уг.№1 в.14.06.24</t>
  </si>
  <si>
    <t>розпломбування та пломбування вузла обліку</t>
  </si>
  <si>
    <t>5484-0612</t>
  </si>
  <si>
    <t>ТОВ "Здоров'я 24" д.уг.№1 в.14.06.24</t>
  </si>
  <si>
    <t>постачання програмної продукції "медична інформаційна система "Health24"</t>
  </si>
  <si>
    <t>ПП "Вайтмед" UA-2023-12-22-012505-a від 09.01.24 д.уг.1 в.14.06.24</t>
  </si>
  <si>
    <t>274</t>
  </si>
  <si>
    <t>275</t>
  </si>
  <si>
    <t>256</t>
  </si>
  <si>
    <t>ТОВ "Юридична консультація "ЛіАС" д.уг.№1 в.14.06.24</t>
  </si>
  <si>
    <t>КНМП "Кременчуцька перша міська лікарня ім. О.Т. Богаєвського" д.уг.№1 в.14.06.24</t>
  </si>
  <si>
    <t>лабораторні дослідження</t>
  </si>
  <si>
    <t>05/02</t>
  </si>
  <si>
    <t>ТОВ "ДМ-Проект" д.уг.№1 в.14.06.24</t>
  </si>
  <si>
    <t>2027/24</t>
  </si>
  <si>
    <t>КП "Кременчуцьке комунальне автотранспортне підприємство 1628" д.уг.№1 в.14.06.24</t>
  </si>
  <si>
    <t>89</t>
  </si>
  <si>
    <t>ТОВ "Артметод" д.уг.№1 в.14.06.24</t>
  </si>
  <si>
    <t>ремонт блока живлення, електроніки вертикалізатора для відділення реабілітації та заміна акамулятора</t>
  </si>
  <si>
    <t>1597/2</t>
  </si>
  <si>
    <t>ПрАТ "Лінде Газ Україна" д.уг.№1в.14.06.24</t>
  </si>
  <si>
    <t>посвідчення повітряного балону</t>
  </si>
  <si>
    <t>1597/1</t>
  </si>
  <si>
    <t>транспортно-еспедиційні послуги</t>
  </si>
  <si>
    <t>240338-П</t>
  </si>
  <si>
    <t>ТОВ "Олестас Еко" д.уг.№1 в.14.06.24</t>
  </si>
  <si>
    <t>управління медичними відходами</t>
  </si>
  <si>
    <t>95</t>
  </si>
  <si>
    <t>ТОВ "Далгакиран компресор Україна" д.уг.№1 в.14.06.24</t>
  </si>
  <si>
    <t>ТО повітряного компресора</t>
  </si>
  <si>
    <t>ПП Павлов М.В.</t>
  </si>
  <si>
    <t>с/р дитяча ЛІЛ</t>
  </si>
  <si>
    <t>с/р центр ЛІЛ</t>
  </si>
  <si>
    <t>м/б ЛІЛ</t>
  </si>
  <si>
    <t>с/ф м/б ЛІЛ</t>
  </si>
  <si>
    <t>КП "Кременчукводоканал" д.уг.№2в.20.06.24</t>
  </si>
  <si>
    <t>ТОВ "Ремонтно-будівельна фірма "Креміньбуд" д.уг.№2 від 20.06.24 по ЛІЛ</t>
  </si>
  <si>
    <t>послуги з постачання теплової енергії д.уг.№4 від 20.06.24 по ЛІЛ</t>
  </si>
  <si>
    <t>розподіл електричної енергії д.уг.№ 3 від 20.06.24 по ЛІЛ</t>
  </si>
  <si>
    <t>капітальний ремонт укосів (підготовка об'єкта до опалювального періоду та заходи з енергозбереження) дитячої поліклініки КНМП "КМДЛ" за адресою вул. Лікар Парнети, 16 д.уг.№ 2 від 20.06.24 по ЛІЛ</t>
  </si>
  <si>
    <t>ТОВ "Лаб-Сервіс"</t>
  </si>
  <si>
    <t>проведення діагностики і ремонту обладнання (гідравлічних компонентів автоматичного біохімічного аналізатора)</t>
  </si>
  <si>
    <t>315</t>
  </si>
  <si>
    <t>КЗ освіти Кременчуцький медичний фаховий коледж імені В.І. Литвиненка</t>
  </si>
  <si>
    <t>відділення післядипломної освіти, цикл спеціалізації "Паліативна і хоспісна допомога" - сестра медична</t>
  </si>
  <si>
    <t>314</t>
  </si>
  <si>
    <t>ТОВ "РТЕ Юкрейн" д. уг. № 5 від 11.07.24 ЛІЛ</t>
  </si>
  <si>
    <t>постачання пакетів оновлення програми "M.E.Doc" модуль облік ПДВ</t>
  </si>
  <si>
    <t>послуги диспетчера таксі</t>
  </si>
  <si>
    <t>с/р ЛІЛ</t>
  </si>
  <si>
    <t>ФОП Цвіров І.М. д.уг.№2 в.14.10.24</t>
  </si>
  <si>
    <t>65/2</t>
  </si>
  <si>
    <t>3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</si>
</sst>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/>
    <xf numFmtId="0" fontId="0" fillId="4" borderId="0" xfId="0" applyFill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167"/>
  <sheetViews>
    <sheetView tabSelected="1" zoomScale="67" zoomScaleNormal="67" workbookViewId="0">
      <pane xSplit="11" ySplit="32" topLeftCell="L152" activePane="bottomRight" state="frozen"/>
      <selection pane="topRight" activeCell="J1" sqref="J1"/>
      <selection pane="bottomLeft" activeCell="A14" sqref="A14"/>
      <selection pane="bottomRight" activeCell="H1" sqref="A1:XFD169"/>
    </sheetView>
  </sheetViews>
  <sheetFormatPr defaultRowHeight="15" x14ac:dyDescent="0.25"/>
  <cols>
    <col min="1" max="1" width="4" customWidth="1"/>
    <col min="2" max="2" width="10" customWidth="1"/>
    <col min="3" max="3" width="8.7109375" customWidth="1"/>
    <col min="4" max="4" width="8.42578125" customWidth="1"/>
    <col min="5" max="5" width="28.140625" customWidth="1"/>
    <col min="6" max="6" width="32.7109375" customWidth="1"/>
    <col min="7" max="7" width="13.140625" customWidth="1"/>
    <col min="8" max="9" width="12.42578125" customWidth="1"/>
    <col min="10" max="10" width="12.140625" customWidth="1"/>
    <col min="11" max="12" width="10.140625" customWidth="1"/>
    <col min="13" max="13" width="10.5703125" customWidth="1"/>
    <col min="14" max="14" width="11.85546875" customWidth="1"/>
    <col min="15" max="18" width="11" customWidth="1"/>
    <col min="19" max="19" width="9.28515625" customWidth="1"/>
    <col min="20" max="20" width="12.5703125" customWidth="1"/>
    <col min="21" max="21" width="12.140625" customWidth="1"/>
    <col min="22" max="22" width="9.7109375" customWidth="1"/>
    <col min="23" max="24" width="10.7109375" customWidth="1"/>
    <col min="25" max="26" width="12" customWidth="1"/>
    <col min="27" max="27" width="11.140625" customWidth="1"/>
    <col min="28" max="28" width="10.28515625" customWidth="1"/>
    <col min="29" max="29" width="11.28515625" customWidth="1"/>
    <col min="30" max="30" width="10.28515625" customWidth="1"/>
    <col min="31" max="31" width="9.140625" customWidth="1"/>
    <col min="32" max="32" width="13" customWidth="1"/>
    <col min="33" max="33" width="13.28515625" customWidth="1"/>
    <col min="35" max="35" width="13.140625" bestFit="1" customWidth="1"/>
  </cols>
  <sheetData>
    <row r="1" spans="1:33" ht="15" customHeight="1" x14ac:dyDescent="0.25">
      <c r="A1" s="24" t="s">
        <v>0</v>
      </c>
      <c r="B1" s="24" t="s">
        <v>1</v>
      </c>
      <c r="C1" s="24" t="s">
        <v>122</v>
      </c>
      <c r="D1" s="24" t="s">
        <v>21</v>
      </c>
      <c r="E1" s="24" t="s">
        <v>123</v>
      </c>
      <c r="F1" s="24" t="s">
        <v>3</v>
      </c>
      <c r="G1" s="24" t="s">
        <v>4</v>
      </c>
      <c r="H1" s="24" t="s">
        <v>7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 t="s">
        <v>129</v>
      </c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 t="s">
        <v>6</v>
      </c>
      <c r="AG1" s="24" t="s">
        <v>130</v>
      </c>
    </row>
    <row r="2" spans="1:33" ht="27.75" customHeight="1" x14ac:dyDescent="0.25">
      <c r="A2" s="24"/>
      <c r="B2" s="24"/>
      <c r="C2" s="24"/>
      <c r="D2" s="24"/>
      <c r="E2" s="24"/>
      <c r="F2" s="24"/>
      <c r="G2" s="24"/>
      <c r="H2" s="24" t="s">
        <v>124</v>
      </c>
      <c r="I2" s="25" t="s">
        <v>356</v>
      </c>
      <c r="J2" s="24" t="s">
        <v>125</v>
      </c>
      <c r="K2" s="24" t="s">
        <v>126</v>
      </c>
      <c r="L2" s="25" t="s">
        <v>357</v>
      </c>
      <c r="M2" s="24" t="s">
        <v>5</v>
      </c>
      <c r="N2" s="25" t="s">
        <v>257</v>
      </c>
      <c r="O2" s="24" t="s">
        <v>127</v>
      </c>
      <c r="P2" s="25" t="s">
        <v>372</v>
      </c>
      <c r="Q2" s="25" t="s">
        <v>354</v>
      </c>
      <c r="R2" s="25" t="s">
        <v>355</v>
      </c>
      <c r="S2" s="24" t="s">
        <v>128</v>
      </c>
      <c r="T2" s="24" t="s">
        <v>124</v>
      </c>
      <c r="U2" s="25" t="s">
        <v>356</v>
      </c>
      <c r="V2" s="24" t="s">
        <v>125</v>
      </c>
      <c r="W2" s="24" t="s">
        <v>126</v>
      </c>
      <c r="X2" s="25" t="s">
        <v>357</v>
      </c>
      <c r="Y2" s="24" t="s">
        <v>5</v>
      </c>
      <c r="Z2" s="25" t="s">
        <v>257</v>
      </c>
      <c r="AA2" s="24" t="s">
        <v>127</v>
      </c>
      <c r="AB2" s="25" t="s">
        <v>372</v>
      </c>
      <c r="AC2" s="25" t="s">
        <v>354</v>
      </c>
      <c r="AD2" s="25" t="s">
        <v>355</v>
      </c>
      <c r="AE2" s="24" t="s">
        <v>128</v>
      </c>
      <c r="AF2" s="24"/>
      <c r="AG2" s="24"/>
    </row>
    <row r="3" spans="1:33" ht="30" customHeight="1" x14ac:dyDescent="0.25">
      <c r="A3" s="24"/>
      <c r="B3" s="24"/>
      <c r="C3" s="24"/>
      <c r="D3" s="24"/>
      <c r="E3" s="24"/>
      <c r="F3" s="24"/>
      <c r="G3" s="24"/>
      <c r="H3" s="24"/>
      <c r="I3" s="25"/>
      <c r="J3" s="24"/>
      <c r="K3" s="24"/>
      <c r="L3" s="25"/>
      <c r="M3" s="24"/>
      <c r="N3" s="25"/>
      <c r="O3" s="24"/>
      <c r="P3" s="25"/>
      <c r="Q3" s="25"/>
      <c r="R3" s="25"/>
      <c r="S3" s="24"/>
      <c r="T3" s="24"/>
      <c r="U3" s="25"/>
      <c r="V3" s="24"/>
      <c r="W3" s="24"/>
      <c r="X3" s="25"/>
      <c r="Y3" s="24"/>
      <c r="Z3" s="25"/>
      <c r="AA3" s="24"/>
      <c r="AB3" s="25"/>
      <c r="AC3" s="25"/>
      <c r="AD3" s="25"/>
      <c r="AE3" s="24"/>
      <c r="AF3" s="24"/>
      <c r="AG3" s="24"/>
    </row>
    <row r="4" spans="1:33" ht="15.75" customHeight="1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x14ac:dyDescent="0.25">
      <c r="A5" s="3">
        <v>1</v>
      </c>
      <c r="B5" s="3">
        <v>53</v>
      </c>
      <c r="C5" s="8">
        <v>45309</v>
      </c>
      <c r="D5" s="8">
        <v>45657</v>
      </c>
      <c r="E5" s="9" t="s">
        <v>31</v>
      </c>
      <c r="F5" s="9" t="s">
        <v>33</v>
      </c>
      <c r="G5" s="4">
        <v>10810</v>
      </c>
      <c r="H5" s="4"/>
      <c r="I5" s="4"/>
      <c r="J5" s="4"/>
      <c r="K5" s="4"/>
      <c r="L5" s="4"/>
      <c r="M5" s="4"/>
      <c r="N5" s="4"/>
      <c r="O5" s="4">
        <v>10810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>
        <v>10810</v>
      </c>
      <c r="AB5" s="4"/>
      <c r="AC5" s="4"/>
      <c r="AD5" s="4"/>
      <c r="AE5" s="4"/>
      <c r="AF5" s="4">
        <f t="shared" ref="AF5:AF32" si="0">SUM(T5:AE5)</f>
        <v>10810</v>
      </c>
      <c r="AG5" s="4">
        <f t="shared" ref="AG5:AG32" si="1">G5-AF5</f>
        <v>0</v>
      </c>
    </row>
    <row r="6" spans="1:33" x14ac:dyDescent="0.25">
      <c r="A6" s="3">
        <v>2</v>
      </c>
      <c r="B6" s="3">
        <v>54</v>
      </c>
      <c r="C6" s="8">
        <v>45309</v>
      </c>
      <c r="D6" s="8">
        <v>45657</v>
      </c>
      <c r="E6" s="9" t="s">
        <v>31</v>
      </c>
      <c r="F6" s="9" t="s">
        <v>46</v>
      </c>
      <c r="G6" s="4">
        <v>3001.66</v>
      </c>
      <c r="H6" s="4"/>
      <c r="I6" s="4"/>
      <c r="J6" s="4"/>
      <c r="K6" s="4"/>
      <c r="L6" s="4"/>
      <c r="M6" s="4"/>
      <c r="N6" s="4"/>
      <c r="O6" s="4">
        <v>3001.66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>
        <v>3001.66</v>
      </c>
      <c r="AB6" s="4"/>
      <c r="AC6" s="4"/>
      <c r="AD6" s="4"/>
      <c r="AE6" s="4"/>
      <c r="AF6" s="4">
        <f t="shared" si="0"/>
        <v>3001.66</v>
      </c>
      <c r="AG6" s="4">
        <f t="shared" si="1"/>
        <v>0</v>
      </c>
    </row>
    <row r="7" spans="1:33" x14ac:dyDescent="0.25">
      <c r="A7" s="3">
        <v>3</v>
      </c>
      <c r="B7" s="3">
        <v>43</v>
      </c>
      <c r="C7" s="8">
        <v>45295</v>
      </c>
      <c r="D7" s="8">
        <v>45657</v>
      </c>
      <c r="E7" s="9" t="s">
        <v>28</v>
      </c>
      <c r="F7" s="9" t="s">
        <v>47</v>
      </c>
      <c r="G7" s="4">
        <v>780</v>
      </c>
      <c r="H7" s="4"/>
      <c r="I7" s="4"/>
      <c r="J7" s="4"/>
      <c r="K7" s="4"/>
      <c r="L7" s="4"/>
      <c r="M7" s="4"/>
      <c r="N7" s="4"/>
      <c r="O7" s="4">
        <v>780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>
        <v>780</v>
      </c>
      <c r="AB7" s="4"/>
      <c r="AC7" s="4"/>
      <c r="AD7" s="4"/>
      <c r="AE7" s="4"/>
      <c r="AF7" s="4">
        <f t="shared" si="0"/>
        <v>780</v>
      </c>
      <c r="AG7" s="4">
        <f t="shared" si="1"/>
        <v>0</v>
      </c>
    </row>
    <row r="8" spans="1:33" ht="51" x14ac:dyDescent="0.25">
      <c r="A8" s="3">
        <v>4</v>
      </c>
      <c r="B8" s="3" t="s">
        <v>48</v>
      </c>
      <c r="C8" s="8">
        <v>45273</v>
      </c>
      <c r="D8" s="8">
        <v>45291</v>
      </c>
      <c r="E8" s="9" t="s">
        <v>49</v>
      </c>
      <c r="F8" s="9" t="s">
        <v>32</v>
      </c>
      <c r="G8" s="4">
        <v>9735</v>
      </c>
      <c r="H8" s="4"/>
      <c r="I8" s="4"/>
      <c r="J8" s="4"/>
      <c r="K8" s="4"/>
      <c r="L8" s="4"/>
      <c r="M8" s="4"/>
      <c r="N8" s="4"/>
      <c r="O8" s="4">
        <v>9735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v>9735</v>
      </c>
      <c r="AB8" s="4"/>
      <c r="AC8" s="4"/>
      <c r="AD8" s="4"/>
      <c r="AE8" s="4"/>
      <c r="AF8" s="4">
        <f t="shared" si="0"/>
        <v>9735</v>
      </c>
      <c r="AG8" s="4">
        <f t="shared" si="1"/>
        <v>0</v>
      </c>
    </row>
    <row r="9" spans="1:33" ht="51" x14ac:dyDescent="0.25">
      <c r="A9" s="3">
        <v>5</v>
      </c>
      <c r="B9" s="3">
        <v>166</v>
      </c>
      <c r="C9" s="8">
        <v>45320</v>
      </c>
      <c r="D9" s="8">
        <v>45657</v>
      </c>
      <c r="E9" s="9" t="s">
        <v>89</v>
      </c>
      <c r="F9" s="9" t="s">
        <v>90</v>
      </c>
      <c r="G9" s="4">
        <v>2065</v>
      </c>
      <c r="H9" s="4"/>
      <c r="I9" s="4"/>
      <c r="J9" s="4"/>
      <c r="K9" s="4"/>
      <c r="L9" s="4"/>
      <c r="M9" s="4"/>
      <c r="N9" s="4"/>
      <c r="O9" s="4">
        <v>2065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>
        <v>2065</v>
      </c>
      <c r="AB9" s="4"/>
      <c r="AC9" s="4"/>
      <c r="AD9" s="4"/>
      <c r="AE9" s="4"/>
      <c r="AF9" s="4">
        <f t="shared" si="0"/>
        <v>2065</v>
      </c>
      <c r="AG9" s="4">
        <f t="shared" si="1"/>
        <v>0</v>
      </c>
    </row>
    <row r="10" spans="1:33" x14ac:dyDescent="0.25">
      <c r="A10" s="3">
        <v>6</v>
      </c>
      <c r="B10" s="5" t="s">
        <v>91</v>
      </c>
      <c r="C10" s="8">
        <v>45321</v>
      </c>
      <c r="D10" s="8">
        <v>45657</v>
      </c>
      <c r="E10" s="9" t="s">
        <v>92</v>
      </c>
      <c r="F10" s="9" t="s">
        <v>93</v>
      </c>
      <c r="G10" s="4">
        <v>9800</v>
      </c>
      <c r="H10" s="4"/>
      <c r="I10" s="4"/>
      <c r="J10" s="4"/>
      <c r="K10" s="4"/>
      <c r="L10" s="4"/>
      <c r="M10" s="4"/>
      <c r="N10" s="4"/>
      <c r="O10" s="4">
        <v>9800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v>9800</v>
      </c>
      <c r="AB10" s="4"/>
      <c r="AC10" s="4"/>
      <c r="AD10" s="4"/>
      <c r="AE10" s="4"/>
      <c r="AF10" s="4">
        <f t="shared" si="0"/>
        <v>9800</v>
      </c>
      <c r="AG10" s="4">
        <f t="shared" si="1"/>
        <v>0</v>
      </c>
    </row>
    <row r="11" spans="1:33" x14ac:dyDescent="0.25">
      <c r="A11" s="3">
        <v>7</v>
      </c>
      <c r="B11" s="5" t="s">
        <v>94</v>
      </c>
      <c r="C11" s="8">
        <v>45321</v>
      </c>
      <c r="D11" s="8">
        <v>45657</v>
      </c>
      <c r="E11" s="9" t="s">
        <v>28</v>
      </c>
      <c r="F11" s="9" t="s">
        <v>95</v>
      </c>
      <c r="G11" s="4">
        <v>375</v>
      </c>
      <c r="H11" s="4"/>
      <c r="I11" s="4"/>
      <c r="J11" s="4"/>
      <c r="K11" s="4"/>
      <c r="L11" s="4"/>
      <c r="M11" s="4"/>
      <c r="N11" s="4"/>
      <c r="O11" s="4">
        <v>375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>
        <v>375</v>
      </c>
      <c r="AB11" s="4"/>
      <c r="AC11" s="4"/>
      <c r="AD11" s="4"/>
      <c r="AE11" s="4"/>
      <c r="AF11" s="4">
        <f t="shared" si="0"/>
        <v>375</v>
      </c>
      <c r="AG11" s="4">
        <f t="shared" si="1"/>
        <v>0</v>
      </c>
    </row>
    <row r="12" spans="1:33" ht="26.25" customHeight="1" x14ac:dyDescent="0.25">
      <c r="A12" s="3">
        <v>8</v>
      </c>
      <c r="B12" s="5" t="s">
        <v>105</v>
      </c>
      <c r="C12" s="8">
        <v>45330</v>
      </c>
      <c r="D12" s="8">
        <v>45657</v>
      </c>
      <c r="E12" s="9" t="s">
        <v>31</v>
      </c>
      <c r="F12" s="9" t="s">
        <v>106</v>
      </c>
      <c r="G12" s="4">
        <v>14195</v>
      </c>
      <c r="H12" s="4"/>
      <c r="I12" s="4"/>
      <c r="J12" s="4"/>
      <c r="K12" s="4"/>
      <c r="L12" s="4"/>
      <c r="M12" s="4"/>
      <c r="N12" s="4"/>
      <c r="O12" s="4">
        <v>14195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14195</v>
      </c>
      <c r="AB12" s="4"/>
      <c r="AC12" s="4"/>
      <c r="AD12" s="4"/>
      <c r="AE12" s="4"/>
      <c r="AF12" s="4">
        <f t="shared" si="0"/>
        <v>14195</v>
      </c>
      <c r="AG12" s="4">
        <f t="shared" si="1"/>
        <v>0</v>
      </c>
    </row>
    <row r="13" spans="1:33" ht="18.75" customHeight="1" x14ac:dyDescent="0.25">
      <c r="A13" s="3">
        <v>9</v>
      </c>
      <c r="B13" s="5" t="s">
        <v>109</v>
      </c>
      <c r="C13" s="8">
        <v>45327</v>
      </c>
      <c r="D13" s="8">
        <v>45657</v>
      </c>
      <c r="E13" s="9" t="s">
        <v>110</v>
      </c>
      <c r="F13" s="9" t="s">
        <v>111</v>
      </c>
      <c r="G13" s="4">
        <v>500</v>
      </c>
      <c r="H13" s="4"/>
      <c r="I13" s="4"/>
      <c r="J13" s="4"/>
      <c r="K13" s="4"/>
      <c r="L13" s="4"/>
      <c r="M13" s="4"/>
      <c r="N13" s="4"/>
      <c r="O13" s="4">
        <v>500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v>500</v>
      </c>
      <c r="AB13" s="4"/>
      <c r="AC13" s="4"/>
      <c r="AD13" s="4"/>
      <c r="AE13" s="4"/>
      <c r="AF13" s="4">
        <f t="shared" si="0"/>
        <v>500</v>
      </c>
      <c r="AG13" s="4">
        <f t="shared" si="1"/>
        <v>0</v>
      </c>
    </row>
    <row r="14" spans="1:33" ht="18.75" customHeight="1" x14ac:dyDescent="0.25">
      <c r="A14" s="3">
        <v>10</v>
      </c>
      <c r="B14" s="5" t="s">
        <v>115</v>
      </c>
      <c r="C14" s="8">
        <v>45330</v>
      </c>
      <c r="D14" s="8">
        <v>45657</v>
      </c>
      <c r="E14" s="9" t="s">
        <v>31</v>
      </c>
      <c r="F14" s="9" t="s">
        <v>116</v>
      </c>
      <c r="G14" s="4">
        <v>3790</v>
      </c>
      <c r="H14" s="4"/>
      <c r="I14" s="4"/>
      <c r="J14" s="4"/>
      <c r="K14" s="4"/>
      <c r="L14" s="4"/>
      <c r="M14" s="4"/>
      <c r="N14" s="4"/>
      <c r="O14" s="4">
        <v>3790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v>3790</v>
      </c>
      <c r="AB14" s="4"/>
      <c r="AC14" s="4"/>
      <c r="AD14" s="4"/>
      <c r="AE14" s="4"/>
      <c r="AF14" s="4">
        <f t="shared" si="0"/>
        <v>3790</v>
      </c>
      <c r="AG14" s="4">
        <f t="shared" si="1"/>
        <v>0</v>
      </c>
    </row>
    <row r="15" spans="1:33" ht="18.75" customHeight="1" x14ac:dyDescent="0.25">
      <c r="A15" s="3">
        <v>11</v>
      </c>
      <c r="B15" s="5" t="s">
        <v>117</v>
      </c>
      <c r="C15" s="8">
        <v>45341</v>
      </c>
      <c r="D15" s="8">
        <v>45657</v>
      </c>
      <c r="E15" s="9" t="s">
        <v>118</v>
      </c>
      <c r="F15" s="9" t="s">
        <v>119</v>
      </c>
      <c r="G15" s="4">
        <v>568</v>
      </c>
      <c r="H15" s="4"/>
      <c r="I15" s="4"/>
      <c r="J15" s="4"/>
      <c r="K15" s="4"/>
      <c r="L15" s="4"/>
      <c r="M15" s="4"/>
      <c r="N15" s="4"/>
      <c r="O15" s="4">
        <v>568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>
        <v>568</v>
      </c>
      <c r="AB15" s="4"/>
      <c r="AC15" s="4"/>
      <c r="AD15" s="4"/>
      <c r="AE15" s="4"/>
      <c r="AF15" s="4">
        <f t="shared" si="0"/>
        <v>568</v>
      </c>
      <c r="AG15" s="4">
        <f t="shared" si="1"/>
        <v>0</v>
      </c>
    </row>
    <row r="16" spans="1:33" ht="16.5" customHeight="1" x14ac:dyDescent="0.25">
      <c r="A16" s="3">
        <v>12</v>
      </c>
      <c r="B16" s="5" t="s">
        <v>120</v>
      </c>
      <c r="C16" s="8">
        <v>45335</v>
      </c>
      <c r="D16" s="8">
        <v>45657</v>
      </c>
      <c r="E16" s="9" t="s">
        <v>118</v>
      </c>
      <c r="F16" s="9" t="s">
        <v>121</v>
      </c>
      <c r="G16" s="4">
        <v>1038.4000000000001</v>
      </c>
      <c r="H16" s="4"/>
      <c r="I16" s="4"/>
      <c r="J16" s="4"/>
      <c r="K16" s="4"/>
      <c r="L16" s="4"/>
      <c r="M16" s="4"/>
      <c r="N16" s="4"/>
      <c r="O16" s="4">
        <v>1038.4000000000001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v>1038.4000000000001</v>
      </c>
      <c r="AB16" s="4"/>
      <c r="AC16" s="4"/>
      <c r="AD16" s="4"/>
      <c r="AE16" s="4"/>
      <c r="AF16" s="4">
        <f t="shared" si="0"/>
        <v>1038.4000000000001</v>
      </c>
      <c r="AG16" s="4">
        <f t="shared" si="1"/>
        <v>0</v>
      </c>
    </row>
    <row r="17" spans="1:33" ht="14.25" customHeight="1" x14ac:dyDescent="0.25">
      <c r="A17" s="3">
        <v>13</v>
      </c>
      <c r="B17" s="5" t="s">
        <v>142</v>
      </c>
      <c r="C17" s="8">
        <v>45337</v>
      </c>
      <c r="D17" s="8">
        <v>45657</v>
      </c>
      <c r="E17" s="9" t="s">
        <v>118</v>
      </c>
      <c r="F17" s="9" t="s">
        <v>143</v>
      </c>
      <c r="G17" s="4">
        <v>730</v>
      </c>
      <c r="H17" s="4"/>
      <c r="I17" s="4"/>
      <c r="J17" s="4"/>
      <c r="K17" s="4"/>
      <c r="L17" s="4"/>
      <c r="M17" s="4"/>
      <c r="N17" s="4"/>
      <c r="O17" s="4">
        <v>730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v>730</v>
      </c>
      <c r="AB17" s="4"/>
      <c r="AC17" s="4"/>
      <c r="AD17" s="4"/>
      <c r="AE17" s="4"/>
      <c r="AF17" s="4">
        <f t="shared" ref="AF17" si="2">SUM(T17:AE17)</f>
        <v>730</v>
      </c>
      <c r="AG17" s="4">
        <f t="shared" ref="AG17" si="3">G17-AF17</f>
        <v>0</v>
      </c>
    </row>
    <row r="18" spans="1:33" ht="14.25" customHeight="1" x14ac:dyDescent="0.25">
      <c r="A18" s="3">
        <v>14</v>
      </c>
      <c r="B18" s="5" t="s">
        <v>168</v>
      </c>
      <c r="C18" s="8">
        <v>45352</v>
      </c>
      <c r="D18" s="8">
        <v>45657</v>
      </c>
      <c r="E18" s="9" t="s">
        <v>28</v>
      </c>
      <c r="F18" s="9" t="s">
        <v>169</v>
      </c>
      <c r="G18" s="4">
        <v>1915.8</v>
      </c>
      <c r="H18" s="4"/>
      <c r="I18" s="4"/>
      <c r="J18" s="4"/>
      <c r="K18" s="4"/>
      <c r="L18" s="4"/>
      <c r="M18" s="4"/>
      <c r="N18" s="4"/>
      <c r="O18" s="4">
        <v>1915.8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1915.8</v>
      </c>
      <c r="AB18" s="4"/>
      <c r="AC18" s="4"/>
      <c r="AD18" s="4"/>
      <c r="AE18" s="4"/>
      <c r="AF18" s="4">
        <f t="shared" ref="AF18" si="4">SUM(T18:AE18)</f>
        <v>1915.8</v>
      </c>
      <c r="AG18" s="4">
        <f t="shared" ref="AG18" si="5">G18-AF18</f>
        <v>0</v>
      </c>
    </row>
    <row r="19" spans="1:33" ht="24.75" customHeight="1" x14ac:dyDescent="0.25">
      <c r="A19" s="3">
        <v>15</v>
      </c>
      <c r="B19" s="5" t="s">
        <v>170</v>
      </c>
      <c r="C19" s="8">
        <v>45363</v>
      </c>
      <c r="D19" s="8">
        <v>45657</v>
      </c>
      <c r="E19" s="9" t="s">
        <v>171</v>
      </c>
      <c r="F19" s="9" t="s">
        <v>172</v>
      </c>
      <c r="G19" s="4">
        <v>1319</v>
      </c>
      <c r="H19" s="4"/>
      <c r="I19" s="4"/>
      <c r="J19" s="4"/>
      <c r="K19" s="4"/>
      <c r="L19" s="4"/>
      <c r="M19" s="4"/>
      <c r="N19" s="4"/>
      <c r="O19" s="4">
        <v>1319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>
        <v>1319</v>
      </c>
      <c r="AB19" s="4"/>
      <c r="AC19" s="4"/>
      <c r="AD19" s="4"/>
      <c r="AE19" s="4"/>
      <c r="AF19" s="4">
        <f t="shared" ref="AF19" si="6">SUM(T19:AE19)</f>
        <v>1319</v>
      </c>
      <c r="AG19" s="4">
        <f t="shared" ref="AG19" si="7">G19-AF19</f>
        <v>0</v>
      </c>
    </row>
    <row r="20" spans="1:33" ht="17.25" customHeight="1" x14ac:dyDescent="0.25">
      <c r="A20" s="3">
        <v>16</v>
      </c>
      <c r="B20" s="5" t="s">
        <v>173</v>
      </c>
      <c r="C20" s="8">
        <v>45365</v>
      </c>
      <c r="D20" s="8">
        <v>45657</v>
      </c>
      <c r="E20" s="9" t="s">
        <v>174</v>
      </c>
      <c r="F20" s="9" t="s">
        <v>175</v>
      </c>
      <c r="G20" s="4">
        <v>9600</v>
      </c>
      <c r="H20" s="4"/>
      <c r="I20" s="4"/>
      <c r="J20" s="4"/>
      <c r="K20" s="4"/>
      <c r="L20" s="4"/>
      <c r="M20" s="4"/>
      <c r="N20" s="4"/>
      <c r="O20" s="4">
        <v>9600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v>9600</v>
      </c>
      <c r="AB20" s="4"/>
      <c r="AC20" s="4"/>
      <c r="AD20" s="4"/>
      <c r="AE20" s="4"/>
      <c r="AF20" s="4">
        <f t="shared" ref="AF20" si="8">SUM(T20:AE20)</f>
        <v>9600</v>
      </c>
      <c r="AG20" s="4">
        <f t="shared" ref="AG20" si="9">G20-AF20</f>
        <v>0</v>
      </c>
    </row>
    <row r="21" spans="1:33" ht="17.25" customHeight="1" x14ac:dyDescent="0.25">
      <c r="A21" s="3">
        <v>17</v>
      </c>
      <c r="B21" s="5" t="s">
        <v>177</v>
      </c>
      <c r="C21" s="8">
        <v>45370</v>
      </c>
      <c r="D21" s="8">
        <v>45657</v>
      </c>
      <c r="E21" s="9" t="s">
        <v>31</v>
      </c>
      <c r="F21" s="9" t="s">
        <v>116</v>
      </c>
      <c r="G21" s="4">
        <v>3010.56</v>
      </c>
      <c r="H21" s="4"/>
      <c r="I21" s="4"/>
      <c r="J21" s="4"/>
      <c r="K21" s="4"/>
      <c r="L21" s="4"/>
      <c r="M21" s="4"/>
      <c r="N21" s="4"/>
      <c r="O21" s="4">
        <v>3010.56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3010.56</v>
      </c>
      <c r="AB21" s="4"/>
      <c r="AC21" s="4"/>
      <c r="AD21" s="4"/>
      <c r="AE21" s="4"/>
      <c r="AF21" s="4">
        <f t="shared" ref="AF21" si="10">SUM(T21:AE21)</f>
        <v>3010.56</v>
      </c>
      <c r="AG21" s="4">
        <f t="shared" ref="AG21" si="11">G21-AF21</f>
        <v>0</v>
      </c>
    </row>
    <row r="22" spans="1:33" ht="26.25" customHeight="1" x14ac:dyDescent="0.25">
      <c r="A22" s="3">
        <v>18</v>
      </c>
      <c r="B22" s="5" t="s">
        <v>178</v>
      </c>
      <c r="C22" s="8">
        <v>45371</v>
      </c>
      <c r="D22" s="8">
        <v>45657</v>
      </c>
      <c r="E22" s="9" t="s">
        <v>179</v>
      </c>
      <c r="F22" s="9" t="s">
        <v>180</v>
      </c>
      <c r="G22" s="4">
        <v>1540</v>
      </c>
      <c r="H22" s="4"/>
      <c r="I22" s="4"/>
      <c r="J22" s="4"/>
      <c r="K22" s="4"/>
      <c r="L22" s="4"/>
      <c r="M22" s="4">
        <v>1540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>
        <v>1540</v>
      </c>
      <c r="Z22" s="4"/>
      <c r="AA22" s="4"/>
      <c r="AB22" s="4"/>
      <c r="AC22" s="4"/>
      <c r="AD22" s="4"/>
      <c r="AE22" s="4"/>
      <c r="AF22" s="4">
        <f t="shared" ref="AF22" si="12">SUM(T22:AE22)</f>
        <v>1540</v>
      </c>
      <c r="AG22" s="4">
        <f t="shared" ref="AG22" si="13">G22-AF22</f>
        <v>0</v>
      </c>
    </row>
    <row r="23" spans="1:33" ht="14.25" customHeight="1" x14ac:dyDescent="0.25">
      <c r="A23" s="3">
        <v>19</v>
      </c>
      <c r="B23" s="5" t="s">
        <v>202</v>
      </c>
      <c r="C23" s="8">
        <v>45391</v>
      </c>
      <c r="D23" s="8">
        <v>45657</v>
      </c>
      <c r="E23" s="9" t="s">
        <v>118</v>
      </c>
      <c r="F23" s="9" t="s">
        <v>203</v>
      </c>
      <c r="G23" s="4">
        <v>1672</v>
      </c>
      <c r="H23" s="4"/>
      <c r="I23" s="4"/>
      <c r="J23" s="4"/>
      <c r="K23" s="4"/>
      <c r="L23" s="4"/>
      <c r="M23" s="4"/>
      <c r="N23" s="4"/>
      <c r="O23" s="4">
        <v>1672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1672</v>
      </c>
      <c r="AB23" s="4"/>
      <c r="AC23" s="4"/>
      <c r="AD23" s="4"/>
      <c r="AE23" s="4"/>
      <c r="AF23" s="4">
        <f t="shared" ref="AF23" si="14">SUM(T23:AE23)</f>
        <v>1672</v>
      </c>
      <c r="AG23" s="4">
        <f t="shared" ref="AG23" si="15">G23-AF23</f>
        <v>0</v>
      </c>
    </row>
    <row r="24" spans="1:33" ht="14.25" customHeight="1" x14ac:dyDescent="0.25">
      <c r="A24" s="3">
        <v>20</v>
      </c>
      <c r="B24" s="5" t="s">
        <v>204</v>
      </c>
      <c r="C24" s="8">
        <v>45373</v>
      </c>
      <c r="D24" s="8">
        <v>45657</v>
      </c>
      <c r="E24" s="9" t="s">
        <v>28</v>
      </c>
      <c r="F24" s="9" t="s">
        <v>205</v>
      </c>
      <c r="G24" s="4">
        <v>528</v>
      </c>
      <c r="H24" s="4"/>
      <c r="I24" s="4"/>
      <c r="J24" s="4"/>
      <c r="K24" s="4"/>
      <c r="L24" s="4"/>
      <c r="M24" s="4"/>
      <c r="N24" s="4"/>
      <c r="O24" s="4">
        <v>528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v>528</v>
      </c>
      <c r="AB24" s="4"/>
      <c r="AC24" s="4"/>
      <c r="AD24" s="4"/>
      <c r="AE24" s="4"/>
      <c r="AF24" s="4">
        <f t="shared" ref="AF24" si="16">SUM(T24:AE24)</f>
        <v>528</v>
      </c>
      <c r="AG24" s="4">
        <f t="shared" ref="AG24" si="17">G24-AF24</f>
        <v>0</v>
      </c>
    </row>
    <row r="25" spans="1:33" ht="27" customHeight="1" x14ac:dyDescent="0.25">
      <c r="A25" s="3">
        <v>21</v>
      </c>
      <c r="B25" s="5" t="s">
        <v>214</v>
      </c>
      <c r="C25" s="8">
        <v>45394</v>
      </c>
      <c r="D25" s="8">
        <v>45657</v>
      </c>
      <c r="E25" s="9" t="s">
        <v>215</v>
      </c>
      <c r="F25" s="9" t="s">
        <v>216</v>
      </c>
      <c r="G25" s="4">
        <v>3069</v>
      </c>
      <c r="H25" s="4"/>
      <c r="I25" s="4"/>
      <c r="J25" s="4"/>
      <c r="K25" s="4"/>
      <c r="L25" s="4"/>
      <c r="M25" s="4"/>
      <c r="N25" s="4"/>
      <c r="O25" s="4">
        <v>3069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>
        <v>3069</v>
      </c>
      <c r="AB25" s="4"/>
      <c r="AC25" s="4"/>
      <c r="AD25" s="4"/>
      <c r="AE25" s="4"/>
      <c r="AF25" s="4">
        <f t="shared" ref="AF25" si="18">SUM(T25:AE25)</f>
        <v>3069</v>
      </c>
      <c r="AG25" s="4">
        <f t="shared" ref="AG25" si="19">G25-AF25</f>
        <v>0</v>
      </c>
    </row>
    <row r="26" spans="1:33" ht="15" customHeight="1" x14ac:dyDescent="0.25">
      <c r="A26" s="3">
        <v>22</v>
      </c>
      <c r="B26" s="5" t="s">
        <v>220</v>
      </c>
      <c r="C26" s="8">
        <v>45407</v>
      </c>
      <c r="D26" s="8">
        <v>45657</v>
      </c>
      <c r="E26" s="9" t="s">
        <v>221</v>
      </c>
      <c r="F26" s="9" t="s">
        <v>222</v>
      </c>
      <c r="G26" s="4">
        <v>591</v>
      </c>
      <c r="H26" s="4"/>
      <c r="I26" s="4"/>
      <c r="J26" s="4"/>
      <c r="K26" s="4"/>
      <c r="L26" s="4"/>
      <c r="M26" s="4"/>
      <c r="N26" s="4"/>
      <c r="O26" s="4">
        <v>591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v>591</v>
      </c>
      <c r="AB26" s="4"/>
      <c r="AC26" s="4"/>
      <c r="AD26" s="4"/>
      <c r="AE26" s="4"/>
      <c r="AF26" s="4">
        <f t="shared" ref="AF26" si="20">SUM(T26:AE26)</f>
        <v>591</v>
      </c>
      <c r="AG26" s="4">
        <f t="shared" ref="AG26" si="21">G26-AF26</f>
        <v>0</v>
      </c>
    </row>
    <row r="27" spans="1:33" ht="15" customHeight="1" x14ac:dyDescent="0.25">
      <c r="A27" s="3">
        <v>23</v>
      </c>
      <c r="B27" s="5" t="s">
        <v>235</v>
      </c>
      <c r="C27" s="8">
        <v>45371</v>
      </c>
      <c r="D27" s="8">
        <v>45657</v>
      </c>
      <c r="E27" s="9" t="s">
        <v>236</v>
      </c>
      <c r="F27" s="9" t="s">
        <v>237</v>
      </c>
      <c r="G27" s="4">
        <v>3040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>
        <v>3040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>
        <v>3040</v>
      </c>
      <c r="AF27" s="4">
        <f t="shared" ref="AF27" si="22">SUM(T27:AE27)</f>
        <v>3040</v>
      </c>
      <c r="AG27" s="4">
        <f t="shared" ref="AG27" si="23">G27-AF27</f>
        <v>0</v>
      </c>
    </row>
    <row r="28" spans="1:33" ht="42.75" customHeight="1" x14ac:dyDescent="0.25">
      <c r="A28" s="3">
        <v>24</v>
      </c>
      <c r="B28" s="5" t="s">
        <v>238</v>
      </c>
      <c r="C28" s="8">
        <v>45394</v>
      </c>
      <c r="D28" s="8">
        <v>45657</v>
      </c>
      <c r="E28" s="9" t="s">
        <v>239</v>
      </c>
      <c r="F28" s="9" t="s">
        <v>240</v>
      </c>
      <c r="G28" s="4">
        <v>6108.22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>
        <v>6108.22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>
        <v>6108.22</v>
      </c>
      <c r="AF28" s="4">
        <f t="shared" ref="AF28" si="24">SUM(T28:AE28)</f>
        <v>6108.22</v>
      </c>
      <c r="AG28" s="4">
        <f t="shared" ref="AG28" si="25">G28-AF28</f>
        <v>0</v>
      </c>
    </row>
    <row r="29" spans="1:33" ht="15" customHeight="1" x14ac:dyDescent="0.25">
      <c r="A29" s="3">
        <v>25</v>
      </c>
      <c r="B29" s="5" t="s">
        <v>241</v>
      </c>
      <c r="C29" s="8">
        <v>45411</v>
      </c>
      <c r="D29" s="8">
        <v>45657</v>
      </c>
      <c r="E29" s="9" t="s">
        <v>242</v>
      </c>
      <c r="F29" s="9" t="s">
        <v>243</v>
      </c>
      <c r="G29" s="4">
        <v>490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>
        <v>490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>
        <v>490</v>
      </c>
      <c r="AF29" s="4">
        <f t="shared" ref="AF29" si="26">SUM(T29:AE29)</f>
        <v>490</v>
      </c>
      <c r="AG29" s="4">
        <f t="shared" ref="AG29" si="27">G29-AF29</f>
        <v>0</v>
      </c>
    </row>
    <row r="30" spans="1:33" ht="15" customHeight="1" x14ac:dyDescent="0.25">
      <c r="A30" s="3">
        <v>26</v>
      </c>
      <c r="B30" s="5" t="s">
        <v>262</v>
      </c>
      <c r="C30" s="8">
        <v>45363</v>
      </c>
      <c r="D30" s="8">
        <v>45657</v>
      </c>
      <c r="E30" s="9" t="s">
        <v>263</v>
      </c>
      <c r="F30" s="9" t="s">
        <v>32</v>
      </c>
      <c r="G30" s="4">
        <v>38635</v>
      </c>
      <c r="H30" s="4">
        <v>38635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>
        <v>38635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>
        <f t="shared" ref="AF30" si="28">SUM(T30:AE30)</f>
        <v>38635</v>
      </c>
      <c r="AG30" s="4">
        <f t="shared" ref="AG30" si="29">G30-AF30</f>
        <v>0</v>
      </c>
    </row>
    <row r="31" spans="1:33" x14ac:dyDescent="0.25">
      <c r="A31" s="3"/>
      <c r="B31" s="3"/>
      <c r="C31" s="8"/>
      <c r="D31" s="8"/>
      <c r="E31" s="9"/>
      <c r="F31" s="9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>
        <f t="shared" si="0"/>
        <v>0</v>
      </c>
      <c r="AG31" s="4">
        <f t="shared" si="1"/>
        <v>0</v>
      </c>
    </row>
    <row r="32" spans="1:33" x14ac:dyDescent="0.25">
      <c r="A32" s="3"/>
      <c r="B32" s="5"/>
      <c r="C32" s="8"/>
      <c r="D32" s="8"/>
      <c r="E32" s="9"/>
      <c r="F32" s="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>
        <f t="shared" si="0"/>
        <v>0</v>
      </c>
      <c r="AG32" s="4">
        <f t="shared" si="1"/>
        <v>0</v>
      </c>
    </row>
    <row r="33" spans="1:33" ht="15.75" customHeight="1" x14ac:dyDescent="0.25">
      <c r="A33" s="27" t="s">
        <v>14</v>
      </c>
      <c r="B33" s="27"/>
      <c r="C33" s="27"/>
      <c r="D33" s="27"/>
      <c r="E33" s="27"/>
      <c r="F33" s="27"/>
      <c r="G33" s="4">
        <f t="shared" ref="G33:AG33" si="30">SUM(G5:G32)</f>
        <v>128906.64000000001</v>
      </c>
      <c r="H33" s="4">
        <f t="shared" si="30"/>
        <v>38635</v>
      </c>
      <c r="I33" s="4"/>
      <c r="J33" s="4">
        <f t="shared" si="30"/>
        <v>0</v>
      </c>
      <c r="K33" s="4">
        <f t="shared" si="30"/>
        <v>0</v>
      </c>
      <c r="L33" s="4"/>
      <c r="M33" s="4">
        <f t="shared" si="30"/>
        <v>1540</v>
      </c>
      <c r="N33" s="4"/>
      <c r="O33" s="4">
        <f t="shared" si="30"/>
        <v>79093.420000000013</v>
      </c>
      <c r="P33" s="4"/>
      <c r="Q33" s="4"/>
      <c r="R33" s="4"/>
      <c r="S33" s="4">
        <f t="shared" si="30"/>
        <v>9638.2200000000012</v>
      </c>
      <c r="T33" s="4">
        <f t="shared" si="30"/>
        <v>38635</v>
      </c>
      <c r="U33" s="4"/>
      <c r="V33" s="4">
        <f t="shared" si="30"/>
        <v>0</v>
      </c>
      <c r="W33" s="4">
        <f t="shared" si="30"/>
        <v>0</v>
      </c>
      <c r="X33" s="4"/>
      <c r="Y33" s="4">
        <f t="shared" si="30"/>
        <v>1540</v>
      </c>
      <c r="Z33" s="4"/>
      <c r="AA33" s="4">
        <f t="shared" si="30"/>
        <v>79093.420000000013</v>
      </c>
      <c r="AB33" s="4"/>
      <c r="AC33" s="4"/>
      <c r="AD33" s="4"/>
      <c r="AE33" s="4">
        <f t="shared" si="30"/>
        <v>9638.2200000000012</v>
      </c>
      <c r="AF33" s="4">
        <f t="shared" si="30"/>
        <v>128906.64000000001</v>
      </c>
      <c r="AG33" s="4">
        <f t="shared" si="30"/>
        <v>0</v>
      </c>
    </row>
    <row r="34" spans="1:33" ht="15.75" customHeight="1" x14ac:dyDescent="0.25">
      <c r="A34" s="29" t="s">
        <v>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3" ht="24" customHeight="1" x14ac:dyDescent="0.25">
      <c r="A35" s="3">
        <v>1</v>
      </c>
      <c r="B35" s="3" t="s">
        <v>52</v>
      </c>
      <c r="C35" s="7">
        <v>44991</v>
      </c>
      <c r="D35" s="8">
        <v>45291</v>
      </c>
      <c r="E35" s="9" t="s">
        <v>176</v>
      </c>
      <c r="F35" s="9" t="s">
        <v>53</v>
      </c>
      <c r="G35" s="4"/>
      <c r="H35" s="4"/>
      <c r="I35" s="4"/>
      <c r="J35" s="4"/>
      <c r="K35" s="4"/>
      <c r="L35" s="4"/>
      <c r="M35" s="4">
        <v>3992.38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>
        <v>3992.38</v>
      </c>
      <c r="Z35" s="4"/>
      <c r="AA35" s="4"/>
      <c r="AB35" s="4"/>
      <c r="AC35" s="4"/>
      <c r="AD35" s="4"/>
      <c r="AE35" s="4"/>
      <c r="AF35" s="4">
        <f t="shared" ref="AF35:AF68" si="31">SUM(T35:AE35)</f>
        <v>3992.38</v>
      </c>
      <c r="AG35" s="4">
        <f t="shared" ref="AG35:AG68" si="32">G35-AF35</f>
        <v>-3992.38</v>
      </c>
    </row>
    <row r="36" spans="1:33" ht="16.5" customHeight="1" x14ac:dyDescent="0.25">
      <c r="A36" s="3">
        <v>2</v>
      </c>
      <c r="B36" s="3" t="s">
        <v>96</v>
      </c>
      <c r="C36" s="7">
        <v>45266</v>
      </c>
      <c r="D36" s="8">
        <v>45291</v>
      </c>
      <c r="E36" s="9" t="s">
        <v>97</v>
      </c>
      <c r="F36" s="9" t="s">
        <v>98</v>
      </c>
      <c r="G36" s="4">
        <v>10053</v>
      </c>
      <c r="H36" s="4"/>
      <c r="I36" s="4"/>
      <c r="J36" s="4"/>
      <c r="K36" s="4"/>
      <c r="L36" s="4"/>
      <c r="M36" s="4">
        <v>10053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>
        <v>10053</v>
      </c>
      <c r="Z36" s="4"/>
      <c r="AA36" s="4"/>
      <c r="AB36" s="4"/>
      <c r="AC36" s="4"/>
      <c r="AD36" s="4"/>
      <c r="AE36" s="4"/>
      <c r="AF36" s="4">
        <f t="shared" si="31"/>
        <v>10053</v>
      </c>
      <c r="AG36" s="4">
        <f t="shared" si="32"/>
        <v>0</v>
      </c>
    </row>
    <row r="37" spans="1:33" ht="16.5" customHeight="1" x14ac:dyDescent="0.25">
      <c r="A37" s="3">
        <v>3</v>
      </c>
      <c r="B37" s="3" t="s">
        <v>99</v>
      </c>
      <c r="C37" s="7">
        <v>45012</v>
      </c>
      <c r="D37" s="8">
        <v>45291</v>
      </c>
      <c r="E37" s="9" t="s">
        <v>97</v>
      </c>
      <c r="F37" s="9" t="s">
        <v>100</v>
      </c>
      <c r="G37" s="4"/>
      <c r="H37" s="4"/>
      <c r="I37" s="4"/>
      <c r="J37" s="4"/>
      <c r="K37" s="4"/>
      <c r="L37" s="4"/>
      <c r="M37" s="4">
        <v>10113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>
        <v>10113</v>
      </c>
      <c r="Z37" s="4"/>
      <c r="AA37" s="4"/>
      <c r="AB37" s="4"/>
      <c r="AC37" s="4"/>
      <c r="AD37" s="4"/>
      <c r="AE37" s="4"/>
      <c r="AF37" s="4">
        <f t="shared" si="31"/>
        <v>10113</v>
      </c>
      <c r="AG37" s="4">
        <f t="shared" si="32"/>
        <v>-10113</v>
      </c>
    </row>
    <row r="38" spans="1:33" ht="27.75" customHeight="1" x14ac:dyDescent="0.25">
      <c r="A38" s="3">
        <v>4</v>
      </c>
      <c r="B38" s="16" t="s">
        <v>144</v>
      </c>
      <c r="C38" s="7">
        <v>45251</v>
      </c>
      <c r="D38" s="8">
        <v>45291</v>
      </c>
      <c r="E38" s="9" t="s">
        <v>145</v>
      </c>
      <c r="F38" s="9" t="s">
        <v>146</v>
      </c>
      <c r="G38" s="4">
        <v>382744.98</v>
      </c>
      <c r="H38" s="4"/>
      <c r="I38" s="4"/>
      <c r="J38" s="4"/>
      <c r="K38" s="4"/>
      <c r="L38" s="4"/>
      <c r="M38" s="4">
        <f>24476.92+14054.66</f>
        <v>38531.58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>
        <f>24476.92+14054.66</f>
        <v>38531.58</v>
      </c>
      <c r="Z38" s="4"/>
      <c r="AA38" s="4"/>
      <c r="AB38" s="4"/>
      <c r="AC38" s="4"/>
      <c r="AD38" s="4"/>
      <c r="AE38" s="4"/>
      <c r="AF38" s="4">
        <f t="shared" si="31"/>
        <v>38531.58</v>
      </c>
      <c r="AG38" s="4">
        <f t="shared" si="32"/>
        <v>344213.39999999997</v>
      </c>
    </row>
    <row r="39" spans="1:33" ht="27.75" customHeight="1" x14ac:dyDescent="0.25">
      <c r="A39" s="3">
        <v>5</v>
      </c>
      <c r="B39" s="16" t="s">
        <v>147</v>
      </c>
      <c r="C39" s="7">
        <v>44966</v>
      </c>
      <c r="D39" s="8">
        <v>45291</v>
      </c>
      <c r="E39" s="9" t="s">
        <v>148</v>
      </c>
      <c r="F39" s="9" t="s">
        <v>146</v>
      </c>
      <c r="G39" s="4"/>
      <c r="H39" s="4"/>
      <c r="I39" s="4"/>
      <c r="J39" s="4"/>
      <c r="K39" s="4"/>
      <c r="L39" s="4"/>
      <c r="M39" s="4">
        <f>21190.8+17268.3</f>
        <v>38459.1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>
        <f>21190.8+17268.3</f>
        <v>38459.1</v>
      </c>
      <c r="Z39" s="4"/>
      <c r="AA39" s="4"/>
      <c r="AB39" s="4"/>
      <c r="AC39" s="4"/>
      <c r="AD39" s="4"/>
      <c r="AE39" s="4"/>
      <c r="AF39" s="4">
        <f t="shared" si="31"/>
        <v>38459.1</v>
      </c>
      <c r="AG39" s="4">
        <f t="shared" si="32"/>
        <v>-38459.1</v>
      </c>
    </row>
    <row r="40" spans="1:33" ht="15.75" customHeight="1" x14ac:dyDescent="0.25">
      <c r="A40" s="3">
        <v>6</v>
      </c>
      <c r="B40" s="16" t="s">
        <v>149</v>
      </c>
      <c r="C40" s="7">
        <v>45282</v>
      </c>
      <c r="D40" s="8">
        <v>45291</v>
      </c>
      <c r="E40" s="9" t="s">
        <v>150</v>
      </c>
      <c r="F40" s="9" t="s">
        <v>151</v>
      </c>
      <c r="G40" s="4">
        <v>93165.97</v>
      </c>
      <c r="H40" s="4"/>
      <c r="I40" s="4"/>
      <c r="J40" s="4"/>
      <c r="K40" s="4"/>
      <c r="L40" s="4"/>
      <c r="M40" s="4">
        <v>93165.97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>
        <v>93165.97</v>
      </c>
      <c r="Z40" s="4"/>
      <c r="AA40" s="4"/>
      <c r="AB40" s="4"/>
      <c r="AC40" s="4"/>
      <c r="AD40" s="4"/>
      <c r="AE40" s="4"/>
      <c r="AF40" s="4">
        <f t="shared" si="31"/>
        <v>93165.97</v>
      </c>
      <c r="AG40" s="4">
        <f t="shared" si="32"/>
        <v>0</v>
      </c>
    </row>
    <row r="41" spans="1:33" ht="41.25" customHeight="1" x14ac:dyDescent="0.25">
      <c r="A41" s="3">
        <v>7</v>
      </c>
      <c r="B41" s="5" t="s">
        <v>133</v>
      </c>
      <c r="C41" s="7">
        <v>45314</v>
      </c>
      <c r="D41" s="8">
        <v>45657</v>
      </c>
      <c r="E41" s="9" t="s">
        <v>275</v>
      </c>
      <c r="F41" s="9" t="s">
        <v>152</v>
      </c>
      <c r="G41" s="4">
        <v>1183.08</v>
      </c>
      <c r="H41" s="4">
        <v>760.8</v>
      </c>
      <c r="I41" s="4"/>
      <c r="J41" s="4"/>
      <c r="K41" s="4"/>
      <c r="L41" s="4"/>
      <c r="M41" s="4">
        <v>422.28</v>
      </c>
      <c r="N41" s="4"/>
      <c r="O41" s="4"/>
      <c r="P41" s="4"/>
      <c r="Q41" s="4"/>
      <c r="R41" s="4"/>
      <c r="S41" s="4"/>
      <c r="T41" s="4">
        <v>760.8</v>
      </c>
      <c r="U41" s="4"/>
      <c r="V41" s="4"/>
      <c r="W41" s="4"/>
      <c r="X41" s="4"/>
      <c r="Y41" s="4">
        <v>422.28</v>
      </c>
      <c r="Z41" s="4"/>
      <c r="AA41" s="4"/>
      <c r="AB41" s="4"/>
      <c r="AC41" s="4"/>
      <c r="AD41" s="4"/>
      <c r="AE41" s="4"/>
      <c r="AF41" s="4">
        <f t="shared" si="31"/>
        <v>1183.08</v>
      </c>
      <c r="AG41" s="4">
        <f t="shared" si="32"/>
        <v>0</v>
      </c>
    </row>
    <row r="42" spans="1:33" ht="15.75" customHeight="1" x14ac:dyDescent="0.25">
      <c r="A42" s="3">
        <v>8</v>
      </c>
      <c r="B42" s="5" t="s">
        <v>153</v>
      </c>
      <c r="C42" s="7">
        <v>45226</v>
      </c>
      <c r="D42" s="8">
        <v>45291</v>
      </c>
      <c r="E42" s="9" t="s">
        <v>154</v>
      </c>
      <c r="F42" s="9" t="s">
        <v>155</v>
      </c>
      <c r="G42" s="4">
        <v>24610</v>
      </c>
      <c r="H42" s="4"/>
      <c r="I42" s="4"/>
      <c r="J42" s="4"/>
      <c r="K42" s="4"/>
      <c r="L42" s="4"/>
      <c r="M42" s="4">
        <f>2461+2461</f>
        <v>4922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>
        <f>2461+2461</f>
        <v>4922</v>
      </c>
      <c r="Z42" s="4"/>
      <c r="AA42" s="4"/>
      <c r="AB42" s="4"/>
      <c r="AC42" s="4"/>
      <c r="AD42" s="4"/>
      <c r="AE42" s="4"/>
      <c r="AF42" s="4">
        <f t="shared" si="31"/>
        <v>4922</v>
      </c>
      <c r="AG42" s="4">
        <f t="shared" si="32"/>
        <v>19688</v>
      </c>
    </row>
    <row r="43" spans="1:33" ht="40.5" customHeight="1" x14ac:dyDescent="0.25">
      <c r="A43" s="3">
        <v>9</v>
      </c>
      <c r="B43" s="5" t="s">
        <v>181</v>
      </c>
      <c r="C43" s="7">
        <v>45341</v>
      </c>
      <c r="D43" s="8">
        <v>45657</v>
      </c>
      <c r="E43" s="9" t="s">
        <v>206</v>
      </c>
      <c r="F43" s="9" t="s">
        <v>182</v>
      </c>
      <c r="G43" s="4">
        <v>410035.82</v>
      </c>
      <c r="H43" s="4">
        <v>45859.63</v>
      </c>
      <c r="I43" s="4"/>
      <c r="J43" s="4"/>
      <c r="K43" s="4"/>
      <c r="L43" s="4"/>
      <c r="M43" s="4">
        <f>67618.65+7597+44677.85+171.2+1091.4+2316.58</f>
        <v>123472.68</v>
      </c>
      <c r="N43" s="4">
        <f>3852+2568</f>
        <v>6420</v>
      </c>
      <c r="O43" s="4"/>
      <c r="P43" s="4"/>
      <c r="Q43" s="4"/>
      <c r="R43" s="4"/>
      <c r="S43" s="4">
        <f>294.22+4280+2348.15</f>
        <v>6922.3700000000008</v>
      </c>
      <c r="T43" s="4">
        <f>22726.8+4071.85+19060.98</f>
        <v>45859.63</v>
      </c>
      <c r="U43" s="4"/>
      <c r="V43" s="4"/>
      <c r="W43" s="4"/>
      <c r="X43" s="4"/>
      <c r="Y43" s="4">
        <f>67618.65+7597+44677.85+171.2+1091.4+2316.58</f>
        <v>123472.68</v>
      </c>
      <c r="Z43" s="4">
        <f>3852+2568</f>
        <v>6420</v>
      </c>
      <c r="AA43" s="4"/>
      <c r="AB43" s="4"/>
      <c r="AC43" s="4"/>
      <c r="AD43" s="4"/>
      <c r="AE43" s="4">
        <f>294.22+4280+2348.15</f>
        <v>6922.3700000000008</v>
      </c>
      <c r="AF43" s="4">
        <f t="shared" ref="AF43" si="33">SUM(T43:AE43)</f>
        <v>182674.68</v>
      </c>
      <c r="AG43" s="4">
        <f t="shared" ref="AG43" si="34">G43-AF43</f>
        <v>227361.14</v>
      </c>
    </row>
    <row r="44" spans="1:33" ht="17.25" customHeight="1" x14ac:dyDescent="0.25">
      <c r="A44" s="3">
        <v>10</v>
      </c>
      <c r="B44" s="5" t="s">
        <v>183</v>
      </c>
      <c r="C44" s="7">
        <v>45302</v>
      </c>
      <c r="D44" s="8">
        <v>45657</v>
      </c>
      <c r="E44" s="9" t="s">
        <v>184</v>
      </c>
      <c r="F44" s="9" t="s">
        <v>185</v>
      </c>
      <c r="G44" s="4">
        <v>5204525.4800000004</v>
      </c>
      <c r="H44" s="4"/>
      <c r="I44" s="4"/>
      <c r="J44" s="4"/>
      <c r="K44" s="4"/>
      <c r="L44" s="4"/>
      <c r="M44" s="4">
        <v>28084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>
        <v>28084</v>
      </c>
      <c r="Z44" s="4"/>
      <c r="AA44" s="4"/>
      <c r="AB44" s="4"/>
      <c r="AC44" s="4"/>
      <c r="AD44" s="4"/>
      <c r="AE44" s="4"/>
      <c r="AF44" s="4">
        <f t="shared" ref="AF44" si="35">SUM(T44:AE44)</f>
        <v>28084</v>
      </c>
      <c r="AG44" s="4">
        <f t="shared" ref="AG44" si="36">G44-AF44</f>
        <v>5176441.4800000004</v>
      </c>
    </row>
    <row r="45" spans="1:33" ht="17.25" customHeight="1" x14ac:dyDescent="0.25">
      <c r="A45" s="3">
        <v>11</v>
      </c>
      <c r="B45" s="5" t="s">
        <v>186</v>
      </c>
      <c r="C45" s="7">
        <v>45303</v>
      </c>
      <c r="D45" s="8">
        <v>45657</v>
      </c>
      <c r="E45" s="9" t="s">
        <v>187</v>
      </c>
      <c r="F45" s="9" t="s">
        <v>188</v>
      </c>
      <c r="G45" s="4">
        <v>2131876.4500000002</v>
      </c>
      <c r="H45" s="4"/>
      <c r="I45" s="4"/>
      <c r="J45" s="4"/>
      <c r="K45" s="4"/>
      <c r="L45" s="4"/>
      <c r="M45" s="4">
        <v>51244.800000000003</v>
      </c>
      <c r="N45" s="4">
        <f>7396.8+13147.2+14793.6+14242.8</f>
        <v>49580.399999999994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>
        <v>51244.800000000003</v>
      </c>
      <c r="Z45" s="4">
        <f>7396.8+13147.2+14793.6+14242.8</f>
        <v>49580.399999999994</v>
      </c>
      <c r="AA45" s="4"/>
      <c r="AB45" s="4"/>
      <c r="AC45" s="4"/>
      <c r="AD45" s="4"/>
      <c r="AE45" s="4"/>
      <c r="AF45" s="4">
        <f t="shared" ref="AF45" si="37">SUM(T45:AE45)</f>
        <v>100825.2</v>
      </c>
      <c r="AG45" s="4">
        <f t="shared" ref="AG45" si="38">G45-AF45</f>
        <v>2031051.2500000002</v>
      </c>
    </row>
    <row r="46" spans="1:33" ht="27" customHeight="1" x14ac:dyDescent="0.25">
      <c r="A46" s="3">
        <v>12</v>
      </c>
      <c r="B46" s="5" t="s">
        <v>189</v>
      </c>
      <c r="C46" s="7">
        <v>45294</v>
      </c>
      <c r="D46" s="8">
        <v>45657</v>
      </c>
      <c r="E46" s="9" t="s">
        <v>285</v>
      </c>
      <c r="F46" s="9" t="s">
        <v>190</v>
      </c>
      <c r="G46" s="4">
        <v>239787</v>
      </c>
      <c r="H46" s="4">
        <v>14391.5</v>
      </c>
      <c r="I46" s="4"/>
      <c r="J46" s="4"/>
      <c r="K46" s="4"/>
      <c r="L46" s="4"/>
      <c r="M46" s="4">
        <v>13161</v>
      </c>
      <c r="N46" s="4"/>
      <c r="O46" s="4"/>
      <c r="P46" s="4"/>
      <c r="Q46" s="4"/>
      <c r="R46" s="4"/>
      <c r="S46" s="4"/>
      <c r="T46" s="4">
        <f>7169+7222.5</f>
        <v>14391.5</v>
      </c>
      <c r="U46" s="4"/>
      <c r="V46" s="4"/>
      <c r="W46" s="4"/>
      <c r="X46" s="4"/>
      <c r="Y46" s="4">
        <v>13161</v>
      </c>
      <c r="Z46" s="4"/>
      <c r="AA46" s="4"/>
      <c r="AB46" s="4"/>
      <c r="AC46" s="4"/>
      <c r="AD46" s="4"/>
      <c r="AE46" s="4"/>
      <c r="AF46" s="4">
        <f t="shared" ref="AF46" si="39">SUM(T46:AE46)</f>
        <v>27552.5</v>
      </c>
      <c r="AG46" s="4">
        <f t="shared" ref="AG46" si="40">G46-AF46</f>
        <v>212234.5</v>
      </c>
    </row>
    <row r="47" spans="1:33" ht="45.75" customHeight="1" x14ac:dyDescent="0.25">
      <c r="A47" s="3">
        <v>13</v>
      </c>
      <c r="B47" s="5" t="s">
        <v>208</v>
      </c>
      <c r="C47" s="5" t="s">
        <v>207</v>
      </c>
      <c r="D47" s="7">
        <v>45291</v>
      </c>
      <c r="E47" s="9" t="s">
        <v>264</v>
      </c>
      <c r="F47" s="9" t="s">
        <v>151</v>
      </c>
      <c r="G47" s="18">
        <v>1309219.97</v>
      </c>
      <c r="H47" s="4">
        <v>199336.93</v>
      </c>
      <c r="I47" s="4"/>
      <c r="J47" s="4"/>
      <c r="K47" s="4"/>
      <c r="L47" s="4"/>
      <c r="M47" s="4">
        <f>6608.32+1134.2+3531+1016.5+5778+10400.4</f>
        <v>28468.42</v>
      </c>
      <c r="N47" s="4">
        <v>642</v>
      </c>
      <c r="O47" s="4"/>
      <c r="P47" s="4"/>
      <c r="Q47" s="4"/>
      <c r="R47" s="4"/>
      <c r="S47" s="4"/>
      <c r="T47" s="4">
        <f>15921.6+16627.8+23914.5+17929.99+35952+48042.14+17826.2+23122.7</f>
        <v>199336.93000000002</v>
      </c>
      <c r="U47" s="4"/>
      <c r="V47" s="4"/>
      <c r="W47" s="4"/>
      <c r="X47" s="4"/>
      <c r="Y47" s="4">
        <f>6608.32+1134.2+3531+1016.5+5778+10400.4</f>
        <v>28468.42</v>
      </c>
      <c r="Z47" s="4">
        <v>642</v>
      </c>
      <c r="AA47" s="4"/>
      <c r="AB47" s="4"/>
      <c r="AC47" s="4"/>
      <c r="AD47" s="4"/>
      <c r="AE47" s="4"/>
      <c r="AF47" s="4">
        <f t="shared" ref="AF47" si="41">SUM(T47:AE47)</f>
        <v>228447.35000000003</v>
      </c>
      <c r="AG47" s="4">
        <f t="shared" ref="AG47" si="42">G47-AF47</f>
        <v>1080772.6199999999</v>
      </c>
    </row>
    <row r="48" spans="1:33" s="2" customFormat="1" ht="22.5" customHeight="1" x14ac:dyDescent="0.25">
      <c r="A48" s="3">
        <v>14</v>
      </c>
      <c r="B48" s="5" t="s">
        <v>209</v>
      </c>
      <c r="C48" s="5" t="s">
        <v>210</v>
      </c>
      <c r="D48" s="7">
        <v>45657</v>
      </c>
      <c r="E48" s="9" t="s">
        <v>373</v>
      </c>
      <c r="F48" s="9" t="s">
        <v>211</v>
      </c>
      <c r="G48" s="4">
        <f>1235218.32-475146.68</f>
        <v>760071.64000000013</v>
      </c>
      <c r="H48" s="4">
        <v>67050.73</v>
      </c>
      <c r="I48" s="4"/>
      <c r="J48" s="4"/>
      <c r="K48" s="4"/>
      <c r="L48" s="4"/>
      <c r="M48" s="4">
        <v>27835.57</v>
      </c>
      <c r="N48" s="4">
        <f>68992.2+8821.36+20236.32+40331.76+22218.02+22918+21147.12</f>
        <v>204664.78</v>
      </c>
      <c r="O48" s="4"/>
      <c r="P48" s="4"/>
      <c r="Q48" s="4"/>
      <c r="R48" s="4"/>
      <c r="S48" s="4"/>
      <c r="T48" s="4">
        <f>23432.84+25731.64+10245.85+7640.4</f>
        <v>67050.73</v>
      </c>
      <c r="U48" s="4"/>
      <c r="V48" s="4"/>
      <c r="W48" s="4"/>
      <c r="X48" s="4"/>
      <c r="Y48" s="4">
        <v>27835.57</v>
      </c>
      <c r="Z48" s="4">
        <f>68992.2+8821.36+20236.32+40331.76+22218.02+22918+21147.12</f>
        <v>204664.78</v>
      </c>
      <c r="AA48" s="4"/>
      <c r="AB48" s="4"/>
      <c r="AC48" s="4"/>
      <c r="AD48" s="4"/>
      <c r="AE48" s="4"/>
      <c r="AF48" s="4">
        <f t="shared" ref="AF48" si="43">SUM(T48:AE48)</f>
        <v>299551.07999999996</v>
      </c>
      <c r="AG48" s="4">
        <f t="shared" ref="AG48" si="44">G48-AF48</f>
        <v>460520.56000000017</v>
      </c>
    </row>
    <row r="49" spans="1:33" s="2" customFormat="1" ht="27" customHeight="1" x14ac:dyDescent="0.25">
      <c r="A49" s="3">
        <v>15</v>
      </c>
      <c r="B49" s="5" t="s">
        <v>258</v>
      </c>
      <c r="C49" s="5" t="s">
        <v>259</v>
      </c>
      <c r="D49" s="7">
        <v>45657</v>
      </c>
      <c r="E49" s="9" t="s">
        <v>206</v>
      </c>
      <c r="F49" s="9" t="s">
        <v>260</v>
      </c>
      <c r="G49" s="4">
        <v>470896.3</v>
      </c>
      <c r="H49" s="4">
        <v>36230.199999999997</v>
      </c>
      <c r="I49" s="4"/>
      <c r="J49" s="4"/>
      <c r="K49" s="4"/>
      <c r="L49" s="4"/>
      <c r="M49" s="4">
        <f>3210+6420+5885</f>
        <v>15515</v>
      </c>
      <c r="N49" s="4">
        <f>3852+4815</f>
        <v>8667</v>
      </c>
      <c r="O49" s="4"/>
      <c r="P49" s="4"/>
      <c r="Q49" s="4"/>
      <c r="R49" s="4"/>
      <c r="S49" s="4"/>
      <c r="T49" s="4">
        <v>36230.199999999997</v>
      </c>
      <c r="U49" s="4"/>
      <c r="V49" s="4"/>
      <c r="W49" s="4"/>
      <c r="X49" s="4"/>
      <c r="Y49" s="4">
        <f>3210+6420+5885</f>
        <v>15515</v>
      </c>
      <c r="Z49" s="4">
        <f>3852+4815</f>
        <v>8667</v>
      </c>
      <c r="AA49" s="4"/>
      <c r="AB49" s="4"/>
      <c r="AC49" s="4"/>
      <c r="AD49" s="4"/>
      <c r="AE49" s="4"/>
      <c r="AF49" s="4">
        <f t="shared" ref="AF49" si="45">SUM(T49:AE49)</f>
        <v>60412.2</v>
      </c>
      <c r="AG49" s="4">
        <f t="shared" ref="AG49" si="46">G49-AF49</f>
        <v>410484.1</v>
      </c>
    </row>
    <row r="50" spans="1:33" s="2" customFormat="1" ht="27" customHeight="1" x14ac:dyDescent="0.25">
      <c r="A50" s="3">
        <v>16</v>
      </c>
      <c r="B50" s="5" t="s">
        <v>136</v>
      </c>
      <c r="C50" s="5" t="s">
        <v>265</v>
      </c>
      <c r="D50" s="7">
        <v>45657</v>
      </c>
      <c r="E50" s="9" t="s">
        <v>266</v>
      </c>
      <c r="F50" s="9" t="s">
        <v>267</v>
      </c>
      <c r="G50" s="4">
        <v>18939</v>
      </c>
      <c r="H50" s="4">
        <v>18939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>
        <v>18939</v>
      </c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>
        <f t="shared" ref="AF50" si="47">SUM(T50:AE50)</f>
        <v>18939</v>
      </c>
      <c r="AG50" s="4">
        <f t="shared" ref="AG50" si="48">G50-AF50</f>
        <v>0</v>
      </c>
    </row>
    <row r="51" spans="1:33" s="2" customFormat="1" ht="27" customHeight="1" x14ac:dyDescent="0.25">
      <c r="A51" s="3">
        <v>17</v>
      </c>
      <c r="B51" s="5" t="s">
        <v>268</v>
      </c>
      <c r="C51" s="5" t="s">
        <v>50</v>
      </c>
      <c r="D51" s="7">
        <v>45657</v>
      </c>
      <c r="E51" s="9" t="s">
        <v>269</v>
      </c>
      <c r="F51" s="9" t="s">
        <v>270</v>
      </c>
      <c r="G51" s="4">
        <v>72162</v>
      </c>
      <c r="H51" s="4">
        <v>72162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>
        <v>72162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>
        <f t="shared" ref="AF51" si="49">SUM(T51:AE51)</f>
        <v>72162</v>
      </c>
      <c r="AG51" s="4">
        <f t="shared" ref="AG51" si="50">G51-AF51</f>
        <v>0</v>
      </c>
    </row>
    <row r="52" spans="1:33" s="2" customFormat="1" ht="16.5" customHeight="1" x14ac:dyDescent="0.25">
      <c r="A52" s="3">
        <v>18</v>
      </c>
      <c r="B52" s="5" t="s">
        <v>132</v>
      </c>
      <c r="C52" s="5" t="s">
        <v>271</v>
      </c>
      <c r="D52" s="7">
        <v>45657</v>
      </c>
      <c r="E52" s="9" t="s">
        <v>272</v>
      </c>
      <c r="F52" s="9" t="s">
        <v>273</v>
      </c>
      <c r="G52" s="4">
        <v>9897.5</v>
      </c>
      <c r="H52" s="4">
        <v>9897.5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>
        <v>9897.5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>
        <f t="shared" ref="AF52" si="51">SUM(T52:AE52)</f>
        <v>9897.5</v>
      </c>
      <c r="AG52" s="4">
        <f t="shared" ref="AG52" si="52">G52-AF52</f>
        <v>0</v>
      </c>
    </row>
    <row r="53" spans="1:33" s="2" customFormat="1" ht="16.5" customHeight="1" x14ac:dyDescent="0.25">
      <c r="A53" s="3">
        <v>19</v>
      </c>
      <c r="B53" s="5" t="s">
        <v>134</v>
      </c>
      <c r="C53" s="5" t="s">
        <v>104</v>
      </c>
      <c r="D53" s="7">
        <v>45657</v>
      </c>
      <c r="E53" s="9" t="s">
        <v>272</v>
      </c>
      <c r="F53" s="9" t="s">
        <v>273</v>
      </c>
      <c r="G53" s="4">
        <v>9469.5</v>
      </c>
      <c r="H53" s="4">
        <v>9469.5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>
        <v>9469.5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>
        <f t="shared" ref="AF53" si="53">SUM(T53:AE53)</f>
        <v>9469.5</v>
      </c>
      <c r="AG53" s="4">
        <f t="shared" ref="AG53" si="54">G53-AF53</f>
        <v>0</v>
      </c>
    </row>
    <row r="54" spans="1:33" s="2" customFormat="1" ht="39" customHeight="1" x14ac:dyDescent="0.25">
      <c r="A54" s="3">
        <v>20</v>
      </c>
      <c r="B54" s="5" t="s">
        <v>274</v>
      </c>
      <c r="C54" s="5" t="s">
        <v>259</v>
      </c>
      <c r="D54" s="7">
        <v>45657</v>
      </c>
      <c r="E54" s="9" t="s">
        <v>276</v>
      </c>
      <c r="F54" s="9" t="s">
        <v>277</v>
      </c>
      <c r="G54" s="4">
        <v>760.8</v>
      </c>
      <c r="H54" s="4">
        <v>760.8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>
        <v>760.8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>
        <f t="shared" ref="AF54" si="55">SUM(T54:AE54)</f>
        <v>760.8</v>
      </c>
      <c r="AG54" s="4">
        <f t="shared" ref="AG54" si="56">G54-AF54</f>
        <v>0</v>
      </c>
    </row>
    <row r="55" spans="1:33" s="2" customFormat="1" ht="39" customHeight="1" x14ac:dyDescent="0.25">
      <c r="A55" s="3">
        <v>21</v>
      </c>
      <c r="B55" s="5" t="s">
        <v>135</v>
      </c>
      <c r="C55" s="5" t="s">
        <v>278</v>
      </c>
      <c r="D55" s="7">
        <v>45657</v>
      </c>
      <c r="E55" s="9" t="s">
        <v>276</v>
      </c>
      <c r="F55" s="9" t="s">
        <v>277</v>
      </c>
      <c r="G55" s="4">
        <v>760.8</v>
      </c>
      <c r="H55" s="4">
        <v>760.8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>
        <v>760.8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>
        <f t="shared" ref="AF55" si="57">SUM(T55:AE55)</f>
        <v>760.8</v>
      </c>
      <c r="AG55" s="4">
        <f t="shared" ref="AG55" si="58">G55-AF55</f>
        <v>0</v>
      </c>
    </row>
    <row r="56" spans="1:33" s="2" customFormat="1" ht="39" customHeight="1" x14ac:dyDescent="0.25">
      <c r="A56" s="3">
        <v>22</v>
      </c>
      <c r="B56" s="5" t="s">
        <v>137</v>
      </c>
      <c r="C56" s="5" t="s">
        <v>279</v>
      </c>
      <c r="D56" s="7">
        <v>45657</v>
      </c>
      <c r="E56" s="9" t="s">
        <v>276</v>
      </c>
      <c r="F56" s="9" t="s">
        <v>280</v>
      </c>
      <c r="G56" s="4">
        <v>422.28</v>
      </c>
      <c r="H56" s="4">
        <v>422.28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>
        <v>422.28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>
        <f t="shared" ref="AF56" si="59">SUM(T56:AE56)</f>
        <v>422.28</v>
      </c>
      <c r="AG56" s="4">
        <f t="shared" ref="AG56" si="60">G56-AF56</f>
        <v>0</v>
      </c>
    </row>
    <row r="57" spans="1:33" s="2" customFormat="1" ht="26.25" customHeight="1" x14ac:dyDescent="0.25">
      <c r="A57" s="3">
        <v>23</v>
      </c>
      <c r="B57" s="5" t="s">
        <v>281</v>
      </c>
      <c r="C57" s="5" t="s">
        <v>51</v>
      </c>
      <c r="D57" s="7">
        <v>45657</v>
      </c>
      <c r="E57" s="9" t="s">
        <v>282</v>
      </c>
      <c r="F57" s="9" t="s">
        <v>283</v>
      </c>
      <c r="G57" s="4">
        <v>4036.04</v>
      </c>
      <c r="H57" s="4">
        <v>4036.04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>
        <v>4036.04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>
        <f t="shared" ref="AF57:AF67" si="61">SUM(T57:AE57)</f>
        <v>4036.04</v>
      </c>
      <c r="AG57" s="4">
        <f t="shared" ref="AG57:AG67" si="62">G57-AF57</f>
        <v>0</v>
      </c>
    </row>
    <row r="58" spans="1:33" s="2" customFormat="1" ht="27.75" customHeight="1" x14ac:dyDescent="0.25">
      <c r="A58" s="3">
        <v>24</v>
      </c>
      <c r="B58" s="5" t="s">
        <v>183</v>
      </c>
      <c r="C58" s="5" t="s">
        <v>50</v>
      </c>
      <c r="D58" s="7">
        <v>45657</v>
      </c>
      <c r="E58" s="9" t="s">
        <v>288</v>
      </c>
      <c r="F58" s="9" t="s">
        <v>185</v>
      </c>
      <c r="G58" s="4">
        <f>5204525.48-0.23</f>
        <v>5204525.25</v>
      </c>
      <c r="H58" s="4">
        <f>289187</f>
        <v>289187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>
        <f>104898+111270+73019</f>
        <v>289187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>
        <f t="shared" ref="AF58" si="63">SUM(T58:AE58)</f>
        <v>289187</v>
      </c>
      <c r="AG58" s="4">
        <f t="shared" ref="AG58" si="64">G58-AF58</f>
        <v>4915338.25</v>
      </c>
    </row>
    <row r="59" spans="1:33" s="2" customFormat="1" ht="27" customHeight="1" x14ac:dyDescent="0.25">
      <c r="A59" s="3">
        <v>25</v>
      </c>
      <c r="B59" s="5" t="s">
        <v>186</v>
      </c>
      <c r="C59" s="5" t="s">
        <v>284</v>
      </c>
      <c r="D59" s="7">
        <v>45657</v>
      </c>
      <c r="E59" s="9" t="s">
        <v>289</v>
      </c>
      <c r="F59" s="9" t="s">
        <v>146</v>
      </c>
      <c r="G59" s="4">
        <v>2131876.4500000002</v>
      </c>
      <c r="H59" s="4">
        <v>124914.6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>
        <f>53267.2+7396.8+6721.2+57529.4</f>
        <v>124914.6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>
        <f t="shared" ref="AF59" si="65">SUM(T59:AE59)</f>
        <v>124914.6</v>
      </c>
      <c r="AG59" s="4">
        <f t="shared" ref="AG59" si="66">G59-AF59</f>
        <v>2006961.85</v>
      </c>
    </row>
    <row r="60" spans="1:33" s="2" customFormat="1" ht="27" customHeight="1" x14ac:dyDescent="0.25">
      <c r="A60" s="3">
        <v>26</v>
      </c>
      <c r="B60" s="5" t="s">
        <v>286</v>
      </c>
      <c r="C60" s="5" t="s">
        <v>287</v>
      </c>
      <c r="D60" s="7">
        <v>45657</v>
      </c>
      <c r="E60" s="9" t="s">
        <v>290</v>
      </c>
      <c r="F60" s="9" t="s">
        <v>146</v>
      </c>
      <c r="G60" s="4">
        <v>1278656</v>
      </c>
      <c r="H60" s="4">
        <v>16704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>
        <v>16704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>
        <f t="shared" ref="AF60" si="67">SUM(T60:AE60)</f>
        <v>16704</v>
      </c>
      <c r="AG60" s="4">
        <f t="shared" ref="AG60" si="68">G60-AF60</f>
        <v>1261952</v>
      </c>
    </row>
    <row r="61" spans="1:33" s="2" customFormat="1" ht="27" customHeight="1" x14ac:dyDescent="0.25">
      <c r="A61" s="3">
        <v>27</v>
      </c>
      <c r="B61" s="5" t="s">
        <v>291</v>
      </c>
      <c r="C61" s="5" t="s">
        <v>210</v>
      </c>
      <c r="D61" s="7">
        <v>45657</v>
      </c>
      <c r="E61" s="9" t="s">
        <v>292</v>
      </c>
      <c r="F61" s="9" t="s">
        <v>146</v>
      </c>
      <c r="G61" s="4">
        <v>1333553.81</v>
      </c>
      <c r="H61" s="4">
        <v>99616.04</v>
      </c>
      <c r="I61" s="4"/>
      <c r="J61" s="4"/>
      <c r="K61" s="4"/>
      <c r="L61" s="4"/>
      <c r="M61" s="4"/>
      <c r="N61" s="4">
        <f>17476.9+23755.67+20630+29738.8+938.2</f>
        <v>92539.569999999992</v>
      </c>
      <c r="O61" s="4"/>
      <c r="P61" s="4"/>
      <c r="Q61" s="4"/>
      <c r="R61" s="4"/>
      <c r="S61" s="4"/>
      <c r="T61" s="4">
        <f>9155.85+13977.92+2318.2+17850.58+23914.57+25687.42+2021.1+4690.4</f>
        <v>99616.04</v>
      </c>
      <c r="U61" s="4"/>
      <c r="V61" s="4"/>
      <c r="W61" s="4"/>
      <c r="X61" s="4"/>
      <c r="Y61" s="4"/>
      <c r="Z61" s="4">
        <f>17476.9+23755.67+20630+29738.8+938.2</f>
        <v>92539.569999999992</v>
      </c>
      <c r="AA61" s="4"/>
      <c r="AB61" s="4"/>
      <c r="AC61" s="4"/>
      <c r="AD61" s="4"/>
      <c r="AE61" s="4"/>
      <c r="AF61" s="4">
        <f t="shared" ref="AF61" si="69">SUM(T61:AE61)</f>
        <v>192155.61</v>
      </c>
      <c r="AG61" s="4">
        <f t="shared" ref="AG61" si="70">G61-AF61</f>
        <v>1141398.2000000002</v>
      </c>
    </row>
    <row r="62" spans="1:33" s="2" customFormat="1" ht="27" customHeight="1" x14ac:dyDescent="0.25">
      <c r="A62" s="3">
        <v>28</v>
      </c>
      <c r="B62" s="5" t="s">
        <v>293</v>
      </c>
      <c r="C62" s="5" t="s">
        <v>294</v>
      </c>
      <c r="D62" s="7">
        <v>45657</v>
      </c>
      <c r="E62" s="9" t="s">
        <v>292</v>
      </c>
      <c r="F62" s="9" t="s">
        <v>185</v>
      </c>
      <c r="G62" s="4">
        <v>65425</v>
      </c>
      <c r="H62" s="4">
        <v>23902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>
        <v>23902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>
        <f t="shared" ref="AF62" si="71">SUM(T62:AE62)</f>
        <v>23902</v>
      </c>
      <c r="AG62" s="4">
        <f t="shared" ref="AG62" si="72">G62-AF62</f>
        <v>41523</v>
      </c>
    </row>
    <row r="63" spans="1:33" s="2" customFormat="1" ht="27" customHeight="1" x14ac:dyDescent="0.25">
      <c r="A63" s="3">
        <v>29</v>
      </c>
      <c r="B63" s="5" t="s">
        <v>297</v>
      </c>
      <c r="C63" s="5" t="s">
        <v>295</v>
      </c>
      <c r="D63" s="7">
        <v>45657</v>
      </c>
      <c r="E63" s="9" t="s">
        <v>296</v>
      </c>
      <c r="F63" s="9" t="s">
        <v>146</v>
      </c>
      <c r="G63" s="4">
        <v>699011.69</v>
      </c>
      <c r="H63" s="4">
        <v>16119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>
        <f>14905.6+1213.4</f>
        <v>16119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>
        <f t="shared" ref="AF63" si="73">SUM(T63:AE63)</f>
        <v>16119</v>
      </c>
      <c r="AG63" s="4">
        <f t="shared" ref="AG63" si="74">G63-AF63</f>
        <v>682892.69</v>
      </c>
    </row>
    <row r="64" spans="1:33" s="2" customFormat="1" ht="27" customHeight="1" x14ac:dyDescent="0.25">
      <c r="A64" s="3">
        <v>30</v>
      </c>
      <c r="B64" s="5" t="s">
        <v>298</v>
      </c>
      <c r="C64" s="5" t="s">
        <v>299</v>
      </c>
      <c r="D64" s="7">
        <v>45657</v>
      </c>
      <c r="E64" s="9" t="s">
        <v>296</v>
      </c>
      <c r="F64" s="9" t="s">
        <v>146</v>
      </c>
      <c r="G64" s="4">
        <v>98279.34</v>
      </c>
      <c r="H64" s="4">
        <v>22149.16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>
        <f>3706.68+8624.18+9667+151.3</f>
        <v>22149.16</v>
      </c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>
        <f t="shared" ref="AF64" si="75">SUM(T64:AE64)</f>
        <v>22149.16</v>
      </c>
      <c r="AG64" s="4">
        <f t="shared" ref="AG64" si="76">G64-AF64</f>
        <v>76130.179999999993</v>
      </c>
    </row>
    <row r="65" spans="1:35" s="2" customFormat="1" ht="27" customHeight="1" x14ac:dyDescent="0.25">
      <c r="A65" s="3">
        <v>31</v>
      </c>
      <c r="B65" s="5" t="s">
        <v>300</v>
      </c>
      <c r="C65" s="5" t="s">
        <v>287</v>
      </c>
      <c r="D65" s="7">
        <v>45657</v>
      </c>
      <c r="E65" s="9" t="s">
        <v>301</v>
      </c>
      <c r="F65" s="9" t="s">
        <v>302</v>
      </c>
      <c r="G65" s="4">
        <f>459200-308300</f>
        <v>150900</v>
      </c>
      <c r="H65" s="4">
        <v>30000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>
        <v>30000</v>
      </c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>
        <f t="shared" ref="AF65" si="77">SUM(T65:AE65)</f>
        <v>30000</v>
      </c>
      <c r="AG65" s="4">
        <f t="shared" ref="AG65" si="78">G65-AF65</f>
        <v>120900</v>
      </c>
    </row>
    <row r="66" spans="1:35" s="2" customFormat="1" ht="27" customHeight="1" x14ac:dyDescent="0.25">
      <c r="A66" s="3">
        <v>32</v>
      </c>
      <c r="B66" s="5" t="s">
        <v>303</v>
      </c>
      <c r="C66" s="5" t="s">
        <v>304</v>
      </c>
      <c r="D66" s="7">
        <v>45657</v>
      </c>
      <c r="E66" s="9" t="s">
        <v>305</v>
      </c>
      <c r="F66" s="9" t="s">
        <v>306</v>
      </c>
      <c r="G66" s="4">
        <v>3210</v>
      </c>
      <c r="H66" s="4">
        <v>3210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>
        <v>3210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>
        <f t="shared" ref="AF66" si="79">SUM(T66:AE66)</f>
        <v>3210</v>
      </c>
      <c r="AG66" s="4">
        <f t="shared" ref="AG66" si="80">G66-AF66</f>
        <v>0</v>
      </c>
    </row>
    <row r="67" spans="1:35" x14ac:dyDescent="0.25">
      <c r="A67" s="3"/>
      <c r="B67" s="5"/>
      <c r="C67" s="8"/>
      <c r="D67" s="8"/>
      <c r="E67" s="9"/>
      <c r="F67" s="9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10"/>
      <c r="AF67" s="4">
        <f t="shared" si="61"/>
        <v>0</v>
      </c>
      <c r="AG67" s="4">
        <f t="shared" si="62"/>
        <v>0</v>
      </c>
    </row>
    <row r="68" spans="1:35" x14ac:dyDescent="0.25">
      <c r="A68" s="3"/>
      <c r="B68" s="5"/>
      <c r="C68" s="8"/>
      <c r="D68" s="8"/>
      <c r="E68" s="9"/>
      <c r="F68" s="9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10"/>
      <c r="AF68" s="4">
        <f t="shared" si="31"/>
        <v>0</v>
      </c>
      <c r="AG68" s="4">
        <f t="shared" si="32"/>
        <v>0</v>
      </c>
    </row>
    <row r="69" spans="1:35" ht="15.75" customHeight="1" x14ac:dyDescent="0.25">
      <c r="A69" s="27" t="s">
        <v>15</v>
      </c>
      <c r="B69" s="27"/>
      <c r="C69" s="27"/>
      <c r="D69" s="27"/>
      <c r="E69" s="27"/>
      <c r="F69" s="27"/>
      <c r="G69" s="4">
        <f>SUM(G35:G68)</f>
        <v>22120055.150000002</v>
      </c>
      <c r="H69" s="4">
        <f t="shared" ref="H69:AG69" si="81">SUM(H35:H68)</f>
        <v>1105879.51</v>
      </c>
      <c r="I69" s="4"/>
      <c r="J69" s="4">
        <f t="shared" si="81"/>
        <v>0</v>
      </c>
      <c r="K69" s="4">
        <f t="shared" si="81"/>
        <v>0</v>
      </c>
      <c r="L69" s="4"/>
      <c r="M69" s="4">
        <f t="shared" si="81"/>
        <v>487440.77999999997</v>
      </c>
      <c r="N69" s="4"/>
      <c r="O69" s="4">
        <f t="shared" si="81"/>
        <v>0</v>
      </c>
      <c r="P69" s="4"/>
      <c r="Q69" s="4"/>
      <c r="R69" s="4"/>
      <c r="S69" s="4">
        <f t="shared" si="81"/>
        <v>6922.3700000000008</v>
      </c>
      <c r="T69" s="4">
        <f t="shared" si="81"/>
        <v>1105879.51</v>
      </c>
      <c r="U69" s="4"/>
      <c r="V69" s="4">
        <f t="shared" si="81"/>
        <v>0</v>
      </c>
      <c r="W69" s="4">
        <f t="shared" si="81"/>
        <v>0</v>
      </c>
      <c r="X69" s="4"/>
      <c r="Y69" s="4">
        <f t="shared" si="81"/>
        <v>487440.77999999997</v>
      </c>
      <c r="Z69" s="4"/>
      <c r="AA69" s="4">
        <f t="shared" si="81"/>
        <v>0</v>
      </c>
      <c r="AB69" s="4"/>
      <c r="AC69" s="4"/>
      <c r="AD69" s="4"/>
      <c r="AE69" s="4">
        <f t="shared" si="81"/>
        <v>6922.3700000000008</v>
      </c>
      <c r="AF69" s="4">
        <f t="shared" si="81"/>
        <v>1962756.41</v>
      </c>
      <c r="AG69" s="4">
        <f t="shared" si="81"/>
        <v>20157298.740000002</v>
      </c>
    </row>
    <row r="70" spans="1:35" ht="15.75" customHeight="1" x14ac:dyDescent="0.25">
      <c r="A70" s="28" t="s">
        <v>9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5" x14ac:dyDescent="0.25">
      <c r="A71" s="3">
        <v>1</v>
      </c>
      <c r="B71" s="3" t="s">
        <v>156</v>
      </c>
      <c r="C71" s="8">
        <v>45203</v>
      </c>
      <c r="D71" s="8">
        <v>45291</v>
      </c>
      <c r="E71" s="9" t="s">
        <v>157</v>
      </c>
      <c r="F71" s="9" t="s">
        <v>158</v>
      </c>
      <c r="G71" s="4">
        <v>2464253</v>
      </c>
      <c r="H71" s="4"/>
      <c r="I71" s="4"/>
      <c r="J71" s="4"/>
      <c r="K71" s="4"/>
      <c r="L71" s="4"/>
      <c r="M71" s="4">
        <f>125471+160989</f>
        <v>286460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>
        <f>125471+160989</f>
        <v>286460</v>
      </c>
      <c r="Z71" s="4"/>
      <c r="AA71" s="4"/>
      <c r="AB71" s="4"/>
      <c r="AC71" s="4"/>
      <c r="AD71" s="4"/>
      <c r="AE71" s="4"/>
      <c r="AF71" s="4">
        <f>SUM(T71:AE71)</f>
        <v>286460</v>
      </c>
      <c r="AG71" s="4">
        <f>G71-AF71</f>
        <v>2177793</v>
      </c>
    </row>
    <row r="72" spans="1:35" ht="44.25" x14ac:dyDescent="0.25">
      <c r="A72" s="3">
        <v>2</v>
      </c>
      <c r="B72" s="3" t="s">
        <v>212</v>
      </c>
      <c r="C72" s="8">
        <v>45293</v>
      </c>
      <c r="D72" s="8">
        <v>45657</v>
      </c>
      <c r="E72" s="9" t="s">
        <v>261</v>
      </c>
      <c r="F72" s="9" t="s">
        <v>213</v>
      </c>
      <c r="G72" s="4">
        <v>6593540.9000000004</v>
      </c>
      <c r="H72" s="4">
        <v>1394158.3</v>
      </c>
      <c r="I72" s="4"/>
      <c r="J72" s="4"/>
      <c r="K72" s="4"/>
      <c r="L72" s="4"/>
      <c r="M72" s="4">
        <f>144715.8+201839.7</f>
        <v>346555.5</v>
      </c>
      <c r="N72" s="4">
        <f>47996.6+129503.4+117219.2+139996.5+145249+95595.1+119550+129039.2+115926.8</f>
        <v>1040075.7999999999</v>
      </c>
      <c r="O72" s="4">
        <v>81825.2</v>
      </c>
      <c r="P72" s="4"/>
      <c r="Q72" s="4"/>
      <c r="R72" s="4"/>
      <c r="S72" s="4"/>
      <c r="T72" s="4">
        <f>180440.2+13003.7+21358.1+199458.8+149676.9+69210.9+116467+138822.2+120795.7+140379.1+135283.7+109262</f>
        <v>1394158.3</v>
      </c>
      <c r="U72" s="4"/>
      <c r="V72" s="4"/>
      <c r="W72" s="4"/>
      <c r="X72" s="4"/>
      <c r="Y72" s="4">
        <f>144715.8+201839.7</f>
        <v>346555.5</v>
      </c>
      <c r="Z72" s="4">
        <f>47996.6+129503.4+117219.2+139996.5+145249+95595.1+119550+129039.2+115926.8</f>
        <v>1040075.7999999999</v>
      </c>
      <c r="AA72" s="4">
        <v>81825.2</v>
      </c>
      <c r="AB72" s="4"/>
      <c r="AC72" s="4"/>
      <c r="AD72" s="4"/>
      <c r="AE72" s="4"/>
      <c r="AF72" s="4">
        <f>SUM(T72:AE72)</f>
        <v>2862614.8000000003</v>
      </c>
      <c r="AG72" s="4">
        <f>G72-AF72</f>
        <v>3730926.1</v>
      </c>
      <c r="AI72" s="1">
        <f>H72-T72</f>
        <v>0</v>
      </c>
    </row>
    <row r="73" spans="1:35" x14ac:dyDescent="0.25">
      <c r="A73" s="3"/>
      <c r="B73" s="3"/>
      <c r="C73" s="8"/>
      <c r="D73" s="8"/>
      <c r="E73" s="9"/>
      <c r="F73" s="9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5" x14ac:dyDescent="0.25">
      <c r="A74" s="3"/>
      <c r="B74" s="3"/>
      <c r="C74" s="8"/>
      <c r="D74" s="8"/>
      <c r="E74" s="9"/>
      <c r="F74" s="9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5" ht="15.75" customHeight="1" x14ac:dyDescent="0.25">
      <c r="A75" s="26" t="s">
        <v>16</v>
      </c>
      <c r="B75" s="26"/>
      <c r="C75" s="26"/>
      <c r="D75" s="26"/>
      <c r="E75" s="26"/>
      <c r="F75" s="26"/>
      <c r="G75" s="6">
        <f>G71</f>
        <v>2464253</v>
      </c>
      <c r="H75" s="6">
        <f t="shared" ref="H75:AG75" si="82">H71</f>
        <v>0</v>
      </c>
      <c r="I75" s="6"/>
      <c r="J75" s="6">
        <f t="shared" si="82"/>
        <v>0</v>
      </c>
      <c r="K75" s="6">
        <f t="shared" si="82"/>
        <v>0</v>
      </c>
      <c r="L75" s="6"/>
      <c r="M75" s="6">
        <f t="shared" si="82"/>
        <v>286460</v>
      </c>
      <c r="N75" s="6"/>
      <c r="O75" s="6">
        <f t="shared" si="82"/>
        <v>0</v>
      </c>
      <c r="P75" s="6"/>
      <c r="Q75" s="6"/>
      <c r="R75" s="6"/>
      <c r="S75" s="6">
        <f t="shared" si="82"/>
        <v>0</v>
      </c>
      <c r="T75" s="6">
        <f t="shared" si="82"/>
        <v>0</v>
      </c>
      <c r="U75" s="6"/>
      <c r="V75" s="6">
        <f t="shared" si="82"/>
        <v>0</v>
      </c>
      <c r="W75" s="6">
        <f t="shared" si="82"/>
        <v>0</v>
      </c>
      <c r="X75" s="6"/>
      <c r="Y75" s="6">
        <f t="shared" si="82"/>
        <v>286460</v>
      </c>
      <c r="Z75" s="6"/>
      <c r="AA75" s="6">
        <f t="shared" si="82"/>
        <v>0</v>
      </c>
      <c r="AB75" s="6"/>
      <c r="AC75" s="6"/>
      <c r="AD75" s="6"/>
      <c r="AE75" s="6">
        <f t="shared" si="82"/>
        <v>0</v>
      </c>
      <c r="AF75" s="6">
        <f t="shared" si="82"/>
        <v>286460</v>
      </c>
      <c r="AG75" s="6">
        <f t="shared" si="82"/>
        <v>2177793</v>
      </c>
    </row>
    <row r="76" spans="1:35" ht="15.75" customHeight="1" x14ac:dyDescent="0.25">
      <c r="A76" s="28" t="s">
        <v>10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5" ht="52.5" customHeight="1" x14ac:dyDescent="0.25">
      <c r="A77" s="3">
        <v>1</v>
      </c>
      <c r="B77" s="3" t="s">
        <v>55</v>
      </c>
      <c r="C77" s="8">
        <v>39370</v>
      </c>
      <c r="D77" s="8">
        <v>45657</v>
      </c>
      <c r="E77" s="9" t="s">
        <v>54</v>
      </c>
      <c r="F77" s="9" t="s">
        <v>56</v>
      </c>
      <c r="G77" s="4"/>
      <c r="H77" s="4"/>
      <c r="I77" s="4"/>
      <c r="J77" s="4"/>
      <c r="K77" s="4"/>
      <c r="L77" s="4"/>
      <c r="M77" s="4"/>
      <c r="N77" s="4"/>
      <c r="O77" s="4">
        <v>12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>
        <v>12</v>
      </c>
      <c r="AB77" s="4"/>
      <c r="AC77" s="4"/>
      <c r="AD77" s="4"/>
      <c r="AE77" s="4"/>
      <c r="AF77" s="4">
        <f t="shared" ref="AF77:AF96" si="83">SUM(T77:AE77)</f>
        <v>12</v>
      </c>
      <c r="AG77" s="4">
        <f t="shared" ref="AG77:AG96" si="84">G77-AF77</f>
        <v>-12</v>
      </c>
    </row>
    <row r="78" spans="1:35" ht="25.5" customHeight="1" x14ac:dyDescent="0.25">
      <c r="A78" s="3">
        <v>2</v>
      </c>
      <c r="B78" s="3" t="s">
        <v>57</v>
      </c>
      <c r="C78" s="8">
        <v>44924</v>
      </c>
      <c r="D78" s="8">
        <v>45291</v>
      </c>
      <c r="E78" s="9" t="s">
        <v>58</v>
      </c>
      <c r="F78" s="9" t="s">
        <v>59</v>
      </c>
      <c r="G78" s="4"/>
      <c r="H78" s="4"/>
      <c r="I78" s="4"/>
      <c r="J78" s="4"/>
      <c r="K78" s="4"/>
      <c r="L78" s="4"/>
      <c r="M78" s="4"/>
      <c r="N78" s="4"/>
      <c r="O78" s="4">
        <f>936+936</f>
        <v>1872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>
        <f>936+936</f>
        <v>1872</v>
      </c>
      <c r="AB78" s="4"/>
      <c r="AC78" s="4"/>
      <c r="AD78" s="4"/>
      <c r="AE78" s="4"/>
      <c r="AF78" s="4">
        <f t="shared" si="83"/>
        <v>1872</v>
      </c>
      <c r="AG78" s="4">
        <f t="shared" si="84"/>
        <v>-1872</v>
      </c>
    </row>
    <row r="79" spans="1:35" ht="39" customHeight="1" x14ac:dyDescent="0.25">
      <c r="A79" s="3">
        <v>3</v>
      </c>
      <c r="B79" s="11">
        <v>67</v>
      </c>
      <c r="C79" s="7">
        <v>45259</v>
      </c>
      <c r="D79" s="8"/>
      <c r="E79" s="9" t="s">
        <v>60</v>
      </c>
      <c r="F79" s="9" t="s">
        <v>83</v>
      </c>
      <c r="G79" s="4"/>
      <c r="H79" s="4"/>
      <c r="I79" s="4"/>
      <c r="J79" s="4"/>
      <c r="K79" s="4"/>
      <c r="L79" s="4"/>
      <c r="M79" s="4"/>
      <c r="N79" s="4"/>
      <c r="O79" s="4">
        <f>36564+13744</f>
        <v>50308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>
        <f>36564+13744</f>
        <v>50308</v>
      </c>
      <c r="AB79" s="4"/>
      <c r="AC79" s="4"/>
      <c r="AD79" s="4"/>
      <c r="AE79" s="4"/>
      <c r="AF79" s="4">
        <f t="shared" si="83"/>
        <v>50308</v>
      </c>
      <c r="AG79" s="4">
        <f t="shared" si="84"/>
        <v>-50308</v>
      </c>
    </row>
    <row r="80" spans="1:35" ht="17.25" customHeight="1" x14ac:dyDescent="0.25">
      <c r="A80" s="3">
        <v>4</v>
      </c>
      <c r="B80" s="11" t="s">
        <v>62</v>
      </c>
      <c r="C80" s="7">
        <v>44950</v>
      </c>
      <c r="D80" s="8">
        <v>45291</v>
      </c>
      <c r="E80" s="9" t="s">
        <v>61</v>
      </c>
      <c r="F80" s="9" t="s">
        <v>131</v>
      </c>
      <c r="G80" s="4"/>
      <c r="H80" s="4"/>
      <c r="I80" s="4"/>
      <c r="J80" s="4"/>
      <c r="K80" s="4"/>
      <c r="L80" s="4"/>
      <c r="M80" s="4"/>
      <c r="N80" s="4"/>
      <c r="O80" s="4">
        <f>32053.91+26211.24</f>
        <v>58265.15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>
        <f>32053.91+26211.24</f>
        <v>58265.15</v>
      </c>
      <c r="AB80" s="4"/>
      <c r="AC80" s="4"/>
      <c r="AD80" s="4"/>
      <c r="AE80" s="4"/>
      <c r="AF80" s="4">
        <f t="shared" si="83"/>
        <v>58265.15</v>
      </c>
      <c r="AG80" s="4">
        <f t="shared" si="84"/>
        <v>-58265.15</v>
      </c>
    </row>
    <row r="81" spans="1:33" ht="26.25" customHeight="1" x14ac:dyDescent="0.25">
      <c r="A81" s="3">
        <v>5</v>
      </c>
      <c r="B81" s="3" t="s">
        <v>64</v>
      </c>
      <c r="C81" s="7">
        <v>44949</v>
      </c>
      <c r="D81" s="7">
        <v>45291</v>
      </c>
      <c r="E81" s="9" t="s">
        <v>63</v>
      </c>
      <c r="F81" s="9" t="s">
        <v>65</v>
      </c>
      <c r="G81" s="4">
        <v>30525.599999999999</v>
      </c>
      <c r="H81" s="4"/>
      <c r="I81" s="4"/>
      <c r="J81" s="4"/>
      <c r="K81" s="4"/>
      <c r="L81" s="4"/>
      <c r="M81" s="4"/>
      <c r="N81" s="4"/>
      <c r="O81" s="4">
        <v>30525.599999999999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>
        <v>30525.599999999999</v>
      </c>
      <c r="AB81" s="4"/>
      <c r="AC81" s="4"/>
      <c r="AD81" s="4"/>
      <c r="AE81" s="4"/>
      <c r="AF81" s="4">
        <f t="shared" si="83"/>
        <v>30525.599999999999</v>
      </c>
      <c r="AG81" s="4">
        <f t="shared" si="84"/>
        <v>0</v>
      </c>
    </row>
    <row r="82" spans="1:33" ht="26.25" customHeight="1" x14ac:dyDescent="0.25">
      <c r="A82" s="3">
        <v>6</v>
      </c>
      <c r="B82" s="3">
        <v>33</v>
      </c>
      <c r="C82" s="7">
        <v>44930</v>
      </c>
      <c r="D82" s="7">
        <v>45291</v>
      </c>
      <c r="E82" s="9" t="s">
        <v>66</v>
      </c>
      <c r="F82" s="9" t="s">
        <v>67</v>
      </c>
      <c r="G82" s="4"/>
      <c r="H82" s="4"/>
      <c r="I82" s="4"/>
      <c r="J82" s="4"/>
      <c r="K82" s="4"/>
      <c r="L82" s="4"/>
      <c r="M82" s="4"/>
      <c r="N82" s="4"/>
      <c r="O82" s="4">
        <f>6083.33+6083.7</f>
        <v>12167.029999999999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>
        <f>6083.33+6083.7</f>
        <v>12167.029999999999</v>
      </c>
      <c r="AB82" s="4"/>
      <c r="AC82" s="4"/>
      <c r="AD82" s="4"/>
      <c r="AE82" s="4"/>
      <c r="AF82" s="4">
        <f t="shared" si="83"/>
        <v>12167.029999999999</v>
      </c>
      <c r="AG82" s="4">
        <f t="shared" si="84"/>
        <v>-12167.029999999999</v>
      </c>
    </row>
    <row r="83" spans="1:33" ht="26.25" customHeight="1" x14ac:dyDescent="0.25">
      <c r="A83" s="3">
        <v>7</v>
      </c>
      <c r="B83" s="3">
        <v>32</v>
      </c>
      <c r="C83" s="7">
        <v>44930</v>
      </c>
      <c r="D83" s="7">
        <v>45291</v>
      </c>
      <c r="E83" s="9" t="s">
        <v>66</v>
      </c>
      <c r="F83" s="9" t="s">
        <v>67</v>
      </c>
      <c r="G83" s="4"/>
      <c r="H83" s="4"/>
      <c r="I83" s="4"/>
      <c r="J83" s="4"/>
      <c r="K83" s="4"/>
      <c r="L83" s="4"/>
      <c r="M83" s="4"/>
      <c r="N83" s="4"/>
      <c r="O83" s="4">
        <f>7500+7500</f>
        <v>15000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>
        <f>7500+7500</f>
        <v>15000</v>
      </c>
      <c r="AB83" s="4"/>
      <c r="AC83" s="4"/>
      <c r="AD83" s="4"/>
      <c r="AE83" s="4"/>
      <c r="AF83" s="4">
        <f t="shared" si="83"/>
        <v>15000</v>
      </c>
      <c r="AG83" s="4">
        <f t="shared" si="84"/>
        <v>-15000</v>
      </c>
    </row>
    <row r="84" spans="1:33" ht="15" customHeight="1" x14ac:dyDescent="0.25">
      <c r="A84" s="3">
        <v>8</v>
      </c>
      <c r="B84" s="3">
        <v>124</v>
      </c>
      <c r="C84" s="7">
        <v>45008</v>
      </c>
      <c r="D84" s="7">
        <v>45291</v>
      </c>
      <c r="E84" s="9" t="s">
        <v>68</v>
      </c>
      <c r="F84" s="9" t="s">
        <v>69</v>
      </c>
      <c r="G84" s="4">
        <v>4200</v>
      </c>
      <c r="H84" s="4"/>
      <c r="I84" s="4"/>
      <c r="J84" s="4"/>
      <c r="K84" s="4"/>
      <c r="L84" s="4"/>
      <c r="M84" s="4"/>
      <c r="N84" s="4"/>
      <c r="O84" s="4">
        <v>4200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>
        <v>4200</v>
      </c>
      <c r="AB84" s="4"/>
      <c r="AC84" s="4"/>
      <c r="AD84" s="4"/>
      <c r="AE84" s="4"/>
      <c r="AF84" s="4">
        <f t="shared" si="83"/>
        <v>4200</v>
      </c>
      <c r="AG84" s="4">
        <f t="shared" si="84"/>
        <v>0</v>
      </c>
    </row>
    <row r="85" spans="1:33" ht="27" customHeight="1" x14ac:dyDescent="0.25">
      <c r="A85" s="3">
        <v>9</v>
      </c>
      <c r="B85" s="3" t="s">
        <v>71</v>
      </c>
      <c r="C85" s="7">
        <v>44964</v>
      </c>
      <c r="D85" s="7">
        <v>45291</v>
      </c>
      <c r="E85" s="9" t="s">
        <v>70</v>
      </c>
      <c r="F85" s="9" t="s">
        <v>72</v>
      </c>
      <c r="G85" s="4"/>
      <c r="H85" s="4"/>
      <c r="I85" s="4"/>
      <c r="J85" s="4"/>
      <c r="K85" s="4"/>
      <c r="L85" s="4"/>
      <c r="M85" s="4"/>
      <c r="N85" s="4"/>
      <c r="O85" s="4">
        <f>5139+8784+8244+3456</f>
        <v>25623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>
        <f>5139+8784+8244+3456</f>
        <v>25623</v>
      </c>
      <c r="AB85" s="4"/>
      <c r="AC85" s="4"/>
      <c r="AD85" s="4"/>
      <c r="AE85" s="4"/>
      <c r="AF85" s="4">
        <f t="shared" si="83"/>
        <v>25623</v>
      </c>
      <c r="AG85" s="4">
        <f t="shared" si="84"/>
        <v>-25623</v>
      </c>
    </row>
    <row r="86" spans="1:33" ht="16.5" customHeight="1" x14ac:dyDescent="0.25">
      <c r="A86" s="3">
        <v>10</v>
      </c>
      <c r="B86" s="3">
        <v>197</v>
      </c>
      <c r="C86" s="7">
        <v>45142</v>
      </c>
      <c r="D86" s="7">
        <v>45291</v>
      </c>
      <c r="E86" s="9" t="s">
        <v>73</v>
      </c>
      <c r="F86" s="19" t="s">
        <v>74</v>
      </c>
      <c r="G86" s="4">
        <v>4700</v>
      </c>
      <c r="H86" s="4"/>
      <c r="I86" s="4"/>
      <c r="J86" s="4"/>
      <c r="K86" s="4"/>
      <c r="L86" s="4"/>
      <c r="M86" s="4"/>
      <c r="N86" s="4"/>
      <c r="O86" s="4">
        <v>4700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>
        <v>4700</v>
      </c>
      <c r="AB86" s="4"/>
      <c r="AC86" s="4"/>
      <c r="AD86" s="4"/>
      <c r="AE86" s="4"/>
      <c r="AF86" s="4">
        <f t="shared" si="83"/>
        <v>4700</v>
      </c>
      <c r="AG86" s="4">
        <f t="shared" si="84"/>
        <v>0</v>
      </c>
    </row>
    <row r="87" spans="1:33" ht="16.5" customHeight="1" x14ac:dyDescent="0.25">
      <c r="A87" s="3">
        <v>11</v>
      </c>
      <c r="B87" s="3">
        <v>199</v>
      </c>
      <c r="C87" s="7">
        <v>45156</v>
      </c>
      <c r="D87" s="7">
        <v>45291</v>
      </c>
      <c r="E87" s="9" t="s">
        <v>73</v>
      </c>
      <c r="F87" s="19" t="s">
        <v>74</v>
      </c>
      <c r="G87" s="4">
        <v>4200</v>
      </c>
      <c r="H87" s="4"/>
      <c r="I87" s="4"/>
      <c r="J87" s="4"/>
      <c r="K87" s="4"/>
      <c r="L87" s="4"/>
      <c r="M87" s="4"/>
      <c r="N87" s="4"/>
      <c r="O87" s="4">
        <v>4200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>
        <v>4200</v>
      </c>
      <c r="AB87" s="4"/>
      <c r="AC87" s="4"/>
      <c r="AD87" s="4"/>
      <c r="AE87" s="4"/>
      <c r="AF87" s="4">
        <f t="shared" si="83"/>
        <v>4200</v>
      </c>
      <c r="AG87" s="4">
        <f t="shared" si="84"/>
        <v>0</v>
      </c>
    </row>
    <row r="88" spans="1:33" ht="32.25" customHeight="1" x14ac:dyDescent="0.25">
      <c r="A88" s="3">
        <v>12</v>
      </c>
      <c r="B88" s="3">
        <v>65</v>
      </c>
      <c r="C88" s="7">
        <v>44935</v>
      </c>
      <c r="D88" s="7">
        <v>45291</v>
      </c>
      <c r="E88" s="9" t="s">
        <v>75</v>
      </c>
      <c r="F88" s="9" t="s">
        <v>76</v>
      </c>
      <c r="G88" s="4"/>
      <c r="H88" s="4"/>
      <c r="I88" s="4"/>
      <c r="J88" s="4"/>
      <c r="K88" s="4"/>
      <c r="L88" s="4"/>
      <c r="M88" s="4"/>
      <c r="N88" s="4"/>
      <c r="O88" s="4">
        <f>7370.4+7370.4</f>
        <v>14740.8</v>
      </c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>
        <f>7370.4+7370.4</f>
        <v>14740.8</v>
      </c>
      <c r="AB88" s="4"/>
      <c r="AC88" s="4"/>
      <c r="AD88" s="4"/>
      <c r="AE88" s="4"/>
      <c r="AF88" s="4">
        <f t="shared" si="83"/>
        <v>14740.8</v>
      </c>
      <c r="AG88" s="4">
        <f t="shared" si="84"/>
        <v>-14740.8</v>
      </c>
    </row>
    <row r="89" spans="1:33" ht="25.5" customHeight="1" x14ac:dyDescent="0.25">
      <c r="A89" s="3">
        <v>13</v>
      </c>
      <c r="B89" s="3">
        <v>36</v>
      </c>
      <c r="C89" s="7">
        <v>44942</v>
      </c>
      <c r="D89" s="7">
        <v>45291</v>
      </c>
      <c r="E89" s="9" t="s">
        <v>78</v>
      </c>
      <c r="F89" s="9" t="s">
        <v>77</v>
      </c>
      <c r="G89" s="4"/>
      <c r="H89" s="4"/>
      <c r="I89" s="4"/>
      <c r="J89" s="4"/>
      <c r="K89" s="4"/>
      <c r="L89" s="4"/>
      <c r="M89" s="4"/>
      <c r="N89" s="4"/>
      <c r="O89" s="4">
        <f>1486.39+1486.39</f>
        <v>2972.78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>
        <f>1486.39+1486.39</f>
        <v>2972.78</v>
      </c>
      <c r="AB89" s="4"/>
      <c r="AC89" s="4"/>
      <c r="AD89" s="4"/>
      <c r="AE89" s="4"/>
      <c r="AF89" s="4">
        <f t="shared" si="83"/>
        <v>2972.78</v>
      </c>
      <c r="AG89" s="4">
        <f t="shared" si="84"/>
        <v>-2972.78</v>
      </c>
    </row>
    <row r="90" spans="1:33" ht="24.75" customHeight="1" x14ac:dyDescent="0.25">
      <c r="A90" s="3">
        <v>14</v>
      </c>
      <c r="B90" s="3">
        <v>1485</v>
      </c>
      <c r="C90" s="7">
        <v>45016</v>
      </c>
      <c r="D90" s="7">
        <v>45291</v>
      </c>
      <c r="E90" s="9" t="s">
        <v>79</v>
      </c>
      <c r="F90" s="9" t="s">
        <v>80</v>
      </c>
      <c r="G90" s="4"/>
      <c r="H90" s="4"/>
      <c r="I90" s="4"/>
      <c r="J90" s="4"/>
      <c r="K90" s="4"/>
      <c r="L90" s="4"/>
      <c r="M90" s="4"/>
      <c r="N90" s="4"/>
      <c r="O90" s="4">
        <f>1200+1200</f>
        <v>2400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>
        <f>1200+1200</f>
        <v>2400</v>
      </c>
      <c r="AB90" s="4"/>
      <c r="AC90" s="4"/>
      <c r="AD90" s="4"/>
      <c r="AE90" s="4"/>
      <c r="AF90" s="4">
        <f t="shared" si="83"/>
        <v>2400</v>
      </c>
      <c r="AG90" s="4">
        <f t="shared" si="84"/>
        <v>-2400</v>
      </c>
    </row>
    <row r="91" spans="1:33" ht="25.5" customHeight="1" x14ac:dyDescent="0.25">
      <c r="A91" s="3">
        <v>15</v>
      </c>
      <c r="B91" s="3" t="s">
        <v>82</v>
      </c>
      <c r="C91" s="7">
        <v>44936</v>
      </c>
      <c r="D91" s="7">
        <v>45291</v>
      </c>
      <c r="E91" s="9" t="s">
        <v>81</v>
      </c>
      <c r="F91" s="9" t="s">
        <v>77</v>
      </c>
      <c r="G91" s="4"/>
      <c r="H91" s="4"/>
      <c r="I91" s="4"/>
      <c r="J91" s="4"/>
      <c r="K91" s="4"/>
      <c r="L91" s="4"/>
      <c r="M91" s="4"/>
      <c r="N91" s="4"/>
      <c r="O91" s="4">
        <f>1720+1720</f>
        <v>3440</v>
      </c>
      <c r="P91" s="4"/>
      <c r="Q91" s="4"/>
      <c r="R91" s="4"/>
      <c r="S91" s="4">
        <v>1720</v>
      </c>
      <c r="T91" s="4"/>
      <c r="U91" s="4"/>
      <c r="V91" s="4"/>
      <c r="W91" s="4"/>
      <c r="X91" s="4"/>
      <c r="Y91" s="4"/>
      <c r="Z91" s="4"/>
      <c r="AA91" s="4">
        <f>1720+1720</f>
        <v>3440</v>
      </c>
      <c r="AB91" s="4"/>
      <c r="AC91" s="4"/>
      <c r="AD91" s="4"/>
      <c r="AE91" s="4">
        <v>1720</v>
      </c>
      <c r="AF91" s="4">
        <f t="shared" si="83"/>
        <v>5160</v>
      </c>
      <c r="AG91" s="4">
        <f t="shared" si="84"/>
        <v>-5160</v>
      </c>
    </row>
    <row r="92" spans="1:33" ht="26.25" customHeight="1" x14ac:dyDescent="0.25">
      <c r="A92" s="3">
        <v>16</v>
      </c>
      <c r="B92" s="3" t="s">
        <v>85</v>
      </c>
      <c r="C92" s="7">
        <v>45160</v>
      </c>
      <c r="D92" s="7">
        <v>45291</v>
      </c>
      <c r="E92" s="9" t="s">
        <v>84</v>
      </c>
      <c r="F92" s="9" t="s">
        <v>86</v>
      </c>
      <c r="G92" s="4"/>
      <c r="H92" s="4"/>
      <c r="I92" s="4"/>
      <c r="J92" s="4"/>
      <c r="K92" s="4"/>
      <c r="L92" s="4"/>
      <c r="M92" s="4"/>
      <c r="N92" s="4"/>
      <c r="O92" s="4">
        <v>800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>
        <v>800</v>
      </c>
      <c r="AB92" s="4"/>
      <c r="AC92" s="4"/>
      <c r="AD92" s="4"/>
      <c r="AE92" s="4"/>
      <c r="AF92" s="4">
        <f t="shared" si="83"/>
        <v>800</v>
      </c>
      <c r="AG92" s="4">
        <f t="shared" si="84"/>
        <v>-800</v>
      </c>
    </row>
    <row r="93" spans="1:33" ht="26.25" customHeight="1" x14ac:dyDescent="0.25">
      <c r="A93" s="3">
        <v>17</v>
      </c>
      <c r="B93" s="3" t="s">
        <v>87</v>
      </c>
      <c r="C93" s="7">
        <v>45301</v>
      </c>
      <c r="D93" s="7">
        <v>45657</v>
      </c>
      <c r="E93" s="9" t="s">
        <v>81</v>
      </c>
      <c r="F93" s="9" t="s">
        <v>77</v>
      </c>
      <c r="G93" s="4">
        <v>20640</v>
      </c>
      <c r="H93" s="4">
        <v>1720</v>
      </c>
      <c r="I93" s="4"/>
      <c r="J93" s="4"/>
      <c r="K93" s="4"/>
      <c r="L93" s="4"/>
      <c r="M93" s="4"/>
      <c r="N93" s="4"/>
      <c r="O93" s="4">
        <v>1720</v>
      </c>
      <c r="P93" s="4">
        <f>1720+1720+1720</f>
        <v>5160</v>
      </c>
      <c r="Q93" s="4">
        <f>1720+1720+1720</f>
        <v>5160</v>
      </c>
      <c r="R93" s="4"/>
      <c r="S93" s="4">
        <f>1720+1720</f>
        <v>3440</v>
      </c>
      <c r="T93" s="4">
        <v>1720</v>
      </c>
      <c r="U93" s="4"/>
      <c r="V93" s="4"/>
      <c r="W93" s="4"/>
      <c r="X93" s="4"/>
      <c r="Y93" s="4"/>
      <c r="Z93" s="4"/>
      <c r="AA93" s="4">
        <v>1720</v>
      </c>
      <c r="AB93" s="4">
        <f>1720+1720+1720</f>
        <v>5160</v>
      </c>
      <c r="AC93" s="4">
        <f>1720+1720+1720</f>
        <v>5160</v>
      </c>
      <c r="AD93" s="4"/>
      <c r="AE93" s="4">
        <f>1720+1720</f>
        <v>3440</v>
      </c>
      <c r="AF93" s="4">
        <f t="shared" si="83"/>
        <v>17200</v>
      </c>
      <c r="AG93" s="4">
        <f t="shared" si="84"/>
        <v>3440</v>
      </c>
    </row>
    <row r="94" spans="1:33" ht="15" customHeight="1" x14ac:dyDescent="0.25">
      <c r="A94" s="3">
        <v>18</v>
      </c>
      <c r="B94" s="3">
        <v>29</v>
      </c>
      <c r="C94" s="7">
        <v>44935</v>
      </c>
      <c r="D94" s="7">
        <v>45291</v>
      </c>
      <c r="E94" s="9" t="s">
        <v>107</v>
      </c>
      <c r="F94" s="9" t="s">
        <v>108</v>
      </c>
      <c r="G94" s="4"/>
      <c r="H94" s="4"/>
      <c r="I94" s="4"/>
      <c r="J94" s="4"/>
      <c r="K94" s="4"/>
      <c r="L94" s="4"/>
      <c r="M94" s="4"/>
      <c r="N94" s="4"/>
      <c r="O94" s="4">
        <v>2654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>
        <v>2654</v>
      </c>
      <c r="AB94" s="4"/>
      <c r="AC94" s="4"/>
      <c r="AD94" s="4"/>
      <c r="AE94" s="4"/>
      <c r="AF94" s="4">
        <f t="shared" si="83"/>
        <v>2654</v>
      </c>
      <c r="AG94" s="4">
        <f t="shared" si="84"/>
        <v>-2654</v>
      </c>
    </row>
    <row r="95" spans="1:33" ht="37.5" customHeight="1" x14ac:dyDescent="0.25">
      <c r="A95" s="3">
        <v>19</v>
      </c>
      <c r="B95" s="5" t="s">
        <v>112</v>
      </c>
      <c r="C95" s="7">
        <v>45338</v>
      </c>
      <c r="D95" s="7">
        <v>45657</v>
      </c>
      <c r="E95" s="9" t="s">
        <v>113</v>
      </c>
      <c r="F95" s="9" t="s">
        <v>114</v>
      </c>
      <c r="G95" s="4">
        <v>1000</v>
      </c>
      <c r="H95" s="4"/>
      <c r="I95" s="4"/>
      <c r="J95" s="4"/>
      <c r="K95" s="4"/>
      <c r="L95" s="4"/>
      <c r="M95" s="4"/>
      <c r="N95" s="4"/>
      <c r="O95" s="4">
        <v>1000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>
        <v>1000</v>
      </c>
      <c r="AB95" s="4"/>
      <c r="AC95" s="4"/>
      <c r="AD95" s="4"/>
      <c r="AE95" s="4"/>
      <c r="AF95" s="4">
        <f t="shared" si="83"/>
        <v>1000</v>
      </c>
      <c r="AG95" s="4">
        <f t="shared" si="84"/>
        <v>0</v>
      </c>
    </row>
    <row r="96" spans="1:33" ht="37.5" customHeight="1" x14ac:dyDescent="0.25">
      <c r="A96" s="3">
        <v>20</v>
      </c>
      <c r="B96" s="5" t="s">
        <v>101</v>
      </c>
      <c r="C96" s="8">
        <v>45114</v>
      </c>
      <c r="D96" s="5" t="s">
        <v>27</v>
      </c>
      <c r="E96" s="20" t="s">
        <v>102</v>
      </c>
      <c r="F96" s="20" t="s">
        <v>103</v>
      </c>
      <c r="G96" s="4"/>
      <c r="H96" s="4"/>
      <c r="I96" s="4"/>
      <c r="J96" s="4"/>
      <c r="K96" s="4"/>
      <c r="L96" s="4"/>
      <c r="M96" s="4"/>
      <c r="N96" s="4"/>
      <c r="O96" s="4">
        <v>5000</v>
      </c>
      <c r="P96" s="4"/>
      <c r="Q96" s="4"/>
      <c r="R96" s="4"/>
      <c r="S96" s="13"/>
      <c r="T96" s="4"/>
      <c r="U96" s="4"/>
      <c r="V96" s="4"/>
      <c r="W96" s="4"/>
      <c r="X96" s="4"/>
      <c r="Y96" s="4"/>
      <c r="Z96" s="4"/>
      <c r="AA96" s="4">
        <v>5000</v>
      </c>
      <c r="AB96" s="4"/>
      <c r="AC96" s="4"/>
      <c r="AD96" s="4"/>
      <c r="AE96" s="4"/>
      <c r="AF96" s="4">
        <f t="shared" si="83"/>
        <v>5000</v>
      </c>
      <c r="AG96" s="4">
        <f t="shared" si="84"/>
        <v>-5000</v>
      </c>
    </row>
    <row r="97" spans="1:33" ht="28.5" customHeight="1" x14ac:dyDescent="0.25">
      <c r="A97" s="3">
        <v>21</v>
      </c>
      <c r="B97" s="5" t="s">
        <v>139</v>
      </c>
      <c r="C97" s="8">
        <v>45289</v>
      </c>
      <c r="D97" s="5" t="s">
        <v>27</v>
      </c>
      <c r="E97" s="20" t="s">
        <v>140</v>
      </c>
      <c r="F97" s="20" t="s">
        <v>141</v>
      </c>
      <c r="G97" s="4">
        <v>16454.3</v>
      </c>
      <c r="H97" s="4"/>
      <c r="I97" s="4"/>
      <c r="J97" s="4"/>
      <c r="K97" s="4"/>
      <c r="L97" s="4"/>
      <c r="M97" s="4"/>
      <c r="N97" s="4"/>
      <c r="O97" s="4">
        <v>16454.3</v>
      </c>
      <c r="P97" s="4"/>
      <c r="Q97" s="4"/>
      <c r="R97" s="4"/>
      <c r="S97" s="13"/>
      <c r="T97" s="4"/>
      <c r="U97" s="4"/>
      <c r="V97" s="4"/>
      <c r="W97" s="4"/>
      <c r="X97" s="4"/>
      <c r="Y97" s="4"/>
      <c r="Z97" s="4"/>
      <c r="AA97" s="4">
        <v>16454.3</v>
      </c>
      <c r="AB97" s="4"/>
      <c r="AC97" s="4"/>
      <c r="AD97" s="4"/>
      <c r="AE97" s="4"/>
      <c r="AF97" s="4">
        <f t="shared" ref="AF97" si="85">SUM(T97:AE97)</f>
        <v>16454.3</v>
      </c>
      <c r="AG97" s="4">
        <f t="shared" ref="AG97" si="86">G97-AF97</f>
        <v>0</v>
      </c>
    </row>
    <row r="98" spans="1:33" ht="18" customHeight="1" x14ac:dyDescent="0.25">
      <c r="A98" s="3">
        <v>22</v>
      </c>
      <c r="B98" s="5" t="s">
        <v>159</v>
      </c>
      <c r="C98" s="8">
        <v>45309</v>
      </c>
      <c r="D98" s="5" t="s">
        <v>36</v>
      </c>
      <c r="E98" s="20" t="s">
        <v>160</v>
      </c>
      <c r="F98" s="20" t="s">
        <v>161</v>
      </c>
      <c r="G98" s="4">
        <v>27840</v>
      </c>
      <c r="H98" s="4"/>
      <c r="I98" s="4"/>
      <c r="J98" s="4"/>
      <c r="K98" s="4"/>
      <c r="L98" s="4"/>
      <c r="M98" s="4"/>
      <c r="N98" s="4"/>
      <c r="O98" s="4">
        <v>2320</v>
      </c>
      <c r="P98" s="4"/>
      <c r="Q98" s="4">
        <f>2320+2320+2320+2320+2320</f>
        <v>11600</v>
      </c>
      <c r="R98" s="4"/>
      <c r="S98" s="13">
        <f>2320+2320+2320</f>
        <v>6960</v>
      </c>
      <c r="T98" s="4"/>
      <c r="U98" s="4"/>
      <c r="V98" s="4"/>
      <c r="W98" s="4"/>
      <c r="X98" s="4"/>
      <c r="Y98" s="4"/>
      <c r="Z98" s="4"/>
      <c r="AA98" s="4">
        <v>2320</v>
      </c>
      <c r="AB98" s="4"/>
      <c r="AC98" s="4">
        <f>2320+2320+2320+2320+2320</f>
        <v>11600</v>
      </c>
      <c r="AD98" s="4"/>
      <c r="AE98" s="13">
        <f>2320+2320+2320</f>
        <v>6960</v>
      </c>
      <c r="AF98" s="4">
        <f t="shared" ref="AF98" si="87">SUM(T98:AE98)</f>
        <v>20880</v>
      </c>
      <c r="AG98" s="4">
        <f t="shared" ref="AG98" si="88">G98-AF98</f>
        <v>6960</v>
      </c>
    </row>
    <row r="99" spans="1:33" ht="25.5" customHeight="1" x14ac:dyDescent="0.25">
      <c r="A99" s="3">
        <v>23</v>
      </c>
      <c r="B99" s="5" t="s">
        <v>162</v>
      </c>
      <c r="C99" s="8">
        <v>45337</v>
      </c>
      <c r="D99" s="5" t="s">
        <v>36</v>
      </c>
      <c r="E99" s="9" t="s">
        <v>58</v>
      </c>
      <c r="F99" s="9" t="s">
        <v>59</v>
      </c>
      <c r="G99" s="4">
        <v>21528.29</v>
      </c>
      <c r="H99" s="4">
        <v>5304.08</v>
      </c>
      <c r="I99" s="4"/>
      <c r="J99" s="4"/>
      <c r="K99" s="4"/>
      <c r="L99" s="4"/>
      <c r="M99" s="4"/>
      <c r="N99" s="4"/>
      <c r="O99" s="4">
        <f>936+936</f>
        <v>1872</v>
      </c>
      <c r="P99" s="4"/>
      <c r="Q99" s="4"/>
      <c r="R99" s="4"/>
      <c r="S99" s="13"/>
      <c r="T99" s="4">
        <v>5304.08</v>
      </c>
      <c r="U99" s="4"/>
      <c r="V99" s="4"/>
      <c r="W99" s="4"/>
      <c r="X99" s="4"/>
      <c r="Y99" s="4"/>
      <c r="Z99" s="4"/>
      <c r="AA99" s="4">
        <f>936+936</f>
        <v>1872</v>
      </c>
      <c r="AB99" s="4"/>
      <c r="AC99" s="4"/>
      <c r="AD99" s="4"/>
      <c r="AE99" s="4"/>
      <c r="AF99" s="4">
        <f t="shared" ref="AF99" si="89">SUM(T99:AE99)</f>
        <v>7176.08</v>
      </c>
      <c r="AG99" s="4">
        <f t="shared" ref="AG99" si="90">G99-AF99</f>
        <v>14352.210000000001</v>
      </c>
    </row>
    <row r="100" spans="1:33" ht="15.75" customHeight="1" x14ac:dyDescent="0.25">
      <c r="A100" s="3">
        <v>24</v>
      </c>
      <c r="B100" s="5" t="s">
        <v>163</v>
      </c>
      <c r="C100" s="8">
        <v>45301</v>
      </c>
      <c r="D100" s="5" t="s">
        <v>36</v>
      </c>
      <c r="E100" s="9" t="s">
        <v>164</v>
      </c>
      <c r="F100" s="9" t="s">
        <v>165</v>
      </c>
      <c r="G100" s="4">
        <v>2400</v>
      </c>
      <c r="H100" s="4"/>
      <c r="I100" s="4"/>
      <c r="J100" s="4"/>
      <c r="K100" s="4"/>
      <c r="L100" s="4"/>
      <c r="M100" s="4"/>
      <c r="N100" s="4"/>
      <c r="O100" s="4">
        <f>200+200</f>
        <v>400</v>
      </c>
      <c r="P100" s="4"/>
      <c r="Q100" s="4">
        <f>200+200</f>
        <v>400</v>
      </c>
      <c r="R100" s="4"/>
      <c r="S100" s="13">
        <f>200+200</f>
        <v>400</v>
      </c>
      <c r="T100" s="4"/>
      <c r="U100" s="4"/>
      <c r="V100" s="4"/>
      <c r="W100" s="4"/>
      <c r="X100" s="4"/>
      <c r="Y100" s="4"/>
      <c r="Z100" s="4"/>
      <c r="AA100" s="4">
        <f>200+200</f>
        <v>400</v>
      </c>
      <c r="AB100" s="4"/>
      <c r="AC100" s="4">
        <f>200+200</f>
        <v>400</v>
      </c>
      <c r="AD100" s="4"/>
      <c r="AE100" s="13">
        <f>200+200</f>
        <v>400</v>
      </c>
      <c r="AF100" s="4">
        <f t="shared" ref="AF100" si="91">SUM(T100:AE100)</f>
        <v>1200</v>
      </c>
      <c r="AG100" s="4">
        <f t="shared" ref="AG100" si="92">G100-AF100</f>
        <v>1200</v>
      </c>
    </row>
    <row r="101" spans="1:33" ht="24.75" customHeight="1" x14ac:dyDescent="0.25">
      <c r="A101" s="3">
        <v>25</v>
      </c>
      <c r="B101" s="5" t="s">
        <v>166</v>
      </c>
      <c r="C101" s="8">
        <v>45309</v>
      </c>
      <c r="D101" s="5" t="s">
        <v>36</v>
      </c>
      <c r="E101" s="9" t="s">
        <v>167</v>
      </c>
      <c r="F101" s="9" t="s">
        <v>165</v>
      </c>
      <c r="G101" s="4">
        <v>7200</v>
      </c>
      <c r="H101" s="4"/>
      <c r="I101" s="4"/>
      <c r="J101" s="4"/>
      <c r="K101" s="4"/>
      <c r="L101" s="4"/>
      <c r="M101" s="4"/>
      <c r="N101" s="4"/>
      <c r="O101" s="4">
        <f>600+600+600</f>
        <v>1800</v>
      </c>
      <c r="P101" s="4">
        <v>600</v>
      </c>
      <c r="Q101" s="4">
        <v>600</v>
      </c>
      <c r="R101" s="4"/>
      <c r="S101" s="13">
        <f>600+600</f>
        <v>1200</v>
      </c>
      <c r="T101" s="4"/>
      <c r="U101" s="4"/>
      <c r="V101" s="4"/>
      <c r="W101" s="4"/>
      <c r="X101" s="4"/>
      <c r="Y101" s="4"/>
      <c r="Z101" s="4"/>
      <c r="AA101" s="4">
        <f>600+600+600</f>
        <v>1800</v>
      </c>
      <c r="AB101" s="4">
        <v>600</v>
      </c>
      <c r="AC101" s="4">
        <v>600</v>
      </c>
      <c r="AD101" s="4"/>
      <c r="AE101" s="13">
        <f>600+600</f>
        <v>1200</v>
      </c>
      <c r="AF101" s="4">
        <f t="shared" ref="AF101" si="93">SUM(T101:AE101)</f>
        <v>4200</v>
      </c>
      <c r="AG101" s="4">
        <f t="shared" ref="AG101" si="94">G101-AF101</f>
        <v>3000</v>
      </c>
    </row>
    <row r="102" spans="1:33" ht="29.25" customHeight="1" x14ac:dyDescent="0.25">
      <c r="A102" s="3">
        <v>26</v>
      </c>
      <c r="B102" s="5" t="s">
        <v>191</v>
      </c>
      <c r="C102" s="8">
        <v>45377</v>
      </c>
      <c r="D102" s="5" t="s">
        <v>36</v>
      </c>
      <c r="E102" s="9" t="s">
        <v>192</v>
      </c>
      <c r="F102" s="9" t="s">
        <v>193</v>
      </c>
      <c r="G102" s="4">
        <v>78000</v>
      </c>
      <c r="H102" s="4"/>
      <c r="I102" s="4"/>
      <c r="J102" s="4"/>
      <c r="K102" s="4"/>
      <c r="L102" s="4"/>
      <c r="M102" s="4">
        <v>78000</v>
      </c>
      <c r="N102" s="4"/>
      <c r="O102" s="4"/>
      <c r="P102" s="4"/>
      <c r="Q102" s="4"/>
      <c r="R102" s="4"/>
      <c r="S102" s="13"/>
      <c r="T102" s="4"/>
      <c r="U102" s="4"/>
      <c r="V102" s="4"/>
      <c r="W102" s="4"/>
      <c r="X102" s="4"/>
      <c r="Y102" s="4">
        <v>78000</v>
      </c>
      <c r="Z102" s="4"/>
      <c r="AA102" s="4"/>
      <c r="AB102" s="4"/>
      <c r="AC102" s="4"/>
      <c r="AD102" s="4"/>
      <c r="AE102" s="4"/>
      <c r="AF102" s="4">
        <f t="shared" ref="AF102" si="95">SUM(T102:AE102)</f>
        <v>78000</v>
      </c>
      <c r="AG102" s="4">
        <f t="shared" ref="AG102" si="96">G102-AF102</f>
        <v>0</v>
      </c>
    </row>
    <row r="103" spans="1:33" ht="16.5" customHeight="1" x14ac:dyDescent="0.25">
      <c r="A103" s="3">
        <v>27</v>
      </c>
      <c r="B103" s="5" t="s">
        <v>198</v>
      </c>
      <c r="C103" s="8">
        <v>45387</v>
      </c>
      <c r="D103" s="8">
        <v>45657</v>
      </c>
      <c r="E103" s="9" t="s">
        <v>199</v>
      </c>
      <c r="F103" s="9" t="s">
        <v>200</v>
      </c>
      <c r="G103" s="4">
        <v>480</v>
      </c>
      <c r="H103" s="4"/>
      <c r="I103" s="4"/>
      <c r="J103" s="4"/>
      <c r="K103" s="4"/>
      <c r="L103" s="4"/>
      <c r="M103" s="4"/>
      <c r="N103" s="4"/>
      <c r="O103" s="4">
        <v>480</v>
      </c>
      <c r="P103" s="4"/>
      <c r="Q103" s="4"/>
      <c r="R103" s="4"/>
      <c r="S103" s="13"/>
      <c r="T103" s="4"/>
      <c r="U103" s="4"/>
      <c r="V103" s="4"/>
      <c r="W103" s="4"/>
      <c r="X103" s="4"/>
      <c r="Y103" s="4"/>
      <c r="Z103" s="4"/>
      <c r="AA103" s="4">
        <v>480</v>
      </c>
      <c r="AB103" s="4"/>
      <c r="AC103" s="4"/>
      <c r="AD103" s="4"/>
      <c r="AE103" s="4"/>
      <c r="AF103" s="4">
        <f t="shared" ref="AF103" si="97">SUM(T103:AE103)</f>
        <v>480</v>
      </c>
      <c r="AG103" s="4">
        <f t="shared" ref="AG103" si="98">G103-AF103</f>
        <v>0</v>
      </c>
    </row>
    <row r="104" spans="1:33" ht="38.25" customHeight="1" x14ac:dyDescent="0.25">
      <c r="A104" s="3">
        <v>28</v>
      </c>
      <c r="B104" s="5" t="s">
        <v>201</v>
      </c>
      <c r="C104" s="8">
        <v>45300</v>
      </c>
      <c r="D104" s="8">
        <v>45657</v>
      </c>
      <c r="E104" s="9" t="s">
        <v>328</v>
      </c>
      <c r="F104" s="9" t="s">
        <v>131</v>
      </c>
      <c r="G104" s="4">
        <v>1690000</v>
      </c>
      <c r="H104" s="4">
        <v>106101.35</v>
      </c>
      <c r="I104" s="4"/>
      <c r="J104" s="4"/>
      <c r="K104" s="4"/>
      <c r="L104" s="4"/>
      <c r="M104" s="4"/>
      <c r="N104" s="4">
        <f>28344.82+40381.22+39179.02+29128.88+31962.36+39315.44+37354.38+39241.15+37219.51+35389.4+40303.9+34723.82</f>
        <v>432543.90000000008</v>
      </c>
      <c r="O104" s="4">
        <f>29770.82+34983.25+37792.8+28421.1+11653+28884.4+36416.31+34022.1+42252.4</f>
        <v>284196.18</v>
      </c>
      <c r="P104" s="4"/>
      <c r="Q104" s="4">
        <f>35250.58+30594.62</f>
        <v>65845.2</v>
      </c>
      <c r="R104" s="4"/>
      <c r="S104" s="13"/>
      <c r="T104" s="4">
        <f>35894.1+34703.19+35504.06</f>
        <v>106101.35</v>
      </c>
      <c r="U104" s="4"/>
      <c r="V104" s="4"/>
      <c r="W104" s="4"/>
      <c r="X104" s="4"/>
      <c r="Y104" s="4"/>
      <c r="Z104" s="4">
        <f>28344.82+40381.22+39179.02+29128.88+31962.36+39315.44+37354.38+39241.15+37219.51+35389.4+40303.9+34723.82</f>
        <v>432543.90000000008</v>
      </c>
      <c r="AA104" s="4">
        <f>29770.82+34983.25+37792.8+28421.1+11653+28884.4+36416.31+34022.1+42252.4</f>
        <v>284196.18</v>
      </c>
      <c r="AB104" s="4"/>
      <c r="AC104" s="4">
        <f>35250.58+30594.62</f>
        <v>65845.2</v>
      </c>
      <c r="AD104" s="4"/>
      <c r="AE104" s="4"/>
      <c r="AF104" s="4">
        <f t="shared" ref="AF104" si="99">SUM(T104:AE104)</f>
        <v>888686.63000000012</v>
      </c>
      <c r="AG104" s="4">
        <f t="shared" ref="AG104" si="100">G104-AF104</f>
        <v>801313.36999999988</v>
      </c>
    </row>
    <row r="105" spans="1:33" ht="79.5" customHeight="1" x14ac:dyDescent="0.25">
      <c r="A105" s="3">
        <v>29</v>
      </c>
      <c r="B105" s="5" t="s">
        <v>228</v>
      </c>
      <c r="C105" s="8">
        <v>45418</v>
      </c>
      <c r="D105" s="8">
        <v>45657</v>
      </c>
      <c r="E105" s="9" t="s">
        <v>359</v>
      </c>
      <c r="F105" s="9" t="s">
        <v>229</v>
      </c>
      <c r="G105" s="4">
        <v>131555.79</v>
      </c>
      <c r="H105" s="4">
        <f>131555.79-131555.79</f>
        <v>0</v>
      </c>
      <c r="I105" s="4">
        <v>131555.79</v>
      </c>
      <c r="J105" s="4"/>
      <c r="K105" s="4"/>
      <c r="L105" s="4"/>
      <c r="M105" s="4"/>
      <c r="N105" s="4"/>
      <c r="O105" s="4"/>
      <c r="P105" s="4"/>
      <c r="Q105" s="4"/>
      <c r="R105" s="4"/>
      <c r="S105" s="13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>
        <f t="shared" ref="AF105" si="101">SUM(T105:AE105)</f>
        <v>0</v>
      </c>
      <c r="AG105" s="4">
        <f t="shared" ref="AG105" si="102">G105-AF105</f>
        <v>131555.79</v>
      </c>
    </row>
    <row r="106" spans="1:33" ht="24" customHeight="1" x14ac:dyDescent="0.25">
      <c r="A106" s="3">
        <v>30</v>
      </c>
      <c r="B106" s="5" t="s">
        <v>85</v>
      </c>
      <c r="C106" s="8">
        <v>45327</v>
      </c>
      <c r="D106" s="8">
        <v>45657</v>
      </c>
      <c r="E106" s="9" t="s">
        <v>353</v>
      </c>
      <c r="F106" s="9" t="s">
        <v>244</v>
      </c>
      <c r="G106" s="4">
        <v>9600</v>
      </c>
      <c r="H106" s="4">
        <v>800</v>
      </c>
      <c r="I106" s="4"/>
      <c r="J106" s="4"/>
      <c r="K106" s="4"/>
      <c r="L106" s="4"/>
      <c r="M106" s="4"/>
      <c r="N106" s="4"/>
      <c r="O106" s="4"/>
      <c r="P106" s="4">
        <f>800+800+800+800+800+800</f>
        <v>4800</v>
      </c>
      <c r="Q106" s="4"/>
      <c r="R106" s="4"/>
      <c r="S106" s="13">
        <f>800+800</f>
        <v>1600</v>
      </c>
      <c r="T106" s="4">
        <v>800</v>
      </c>
      <c r="U106" s="4"/>
      <c r="V106" s="4"/>
      <c r="W106" s="4"/>
      <c r="X106" s="4"/>
      <c r="Y106" s="4"/>
      <c r="Z106" s="4"/>
      <c r="AA106" s="4"/>
      <c r="AB106" s="4">
        <f>800+800+800+800+800+800</f>
        <v>4800</v>
      </c>
      <c r="AC106" s="4"/>
      <c r="AD106" s="4"/>
      <c r="AE106" s="13">
        <f>800+800</f>
        <v>1600</v>
      </c>
      <c r="AF106" s="4">
        <f t="shared" ref="AF106" si="103">SUM(T106:AE106)</f>
        <v>7200</v>
      </c>
      <c r="AG106" s="4">
        <f t="shared" ref="AG106" si="104">G106-AF106</f>
        <v>2400</v>
      </c>
    </row>
    <row r="107" spans="1:33" ht="24" customHeight="1" x14ac:dyDescent="0.25">
      <c r="A107" s="3">
        <v>31</v>
      </c>
      <c r="B107" s="5" t="s">
        <v>245</v>
      </c>
      <c r="C107" s="8">
        <v>45324</v>
      </c>
      <c r="D107" s="8">
        <v>45657</v>
      </c>
      <c r="E107" s="9" t="s">
        <v>79</v>
      </c>
      <c r="F107" s="9" t="s">
        <v>80</v>
      </c>
      <c r="G107" s="4">
        <v>14400</v>
      </c>
      <c r="H107" s="4"/>
      <c r="I107" s="4"/>
      <c r="J107" s="4"/>
      <c r="K107" s="4"/>
      <c r="L107" s="4"/>
      <c r="M107" s="4"/>
      <c r="N107" s="4"/>
      <c r="O107" s="4"/>
      <c r="P107" s="4">
        <f>1200+1200+1200</f>
        <v>3600</v>
      </c>
      <c r="Q107" s="4">
        <f>1200</f>
        <v>1200</v>
      </c>
      <c r="R107" s="4"/>
      <c r="S107" s="13">
        <f>1200+1200</f>
        <v>2400</v>
      </c>
      <c r="T107" s="4"/>
      <c r="U107" s="4"/>
      <c r="V107" s="4"/>
      <c r="W107" s="4"/>
      <c r="X107" s="4"/>
      <c r="Y107" s="4"/>
      <c r="Z107" s="4"/>
      <c r="AA107" s="4"/>
      <c r="AB107" s="4">
        <f>1200+1200+1200</f>
        <v>3600</v>
      </c>
      <c r="AC107" s="4">
        <v>1200</v>
      </c>
      <c r="AD107" s="4"/>
      <c r="AE107" s="13">
        <f>1200+1200</f>
        <v>2400</v>
      </c>
      <c r="AF107" s="4">
        <f t="shared" ref="AF107" si="105">SUM(T107:AE107)</f>
        <v>7200</v>
      </c>
      <c r="AG107" s="4">
        <f t="shared" ref="AG107" si="106">G107-AF107</f>
        <v>7200</v>
      </c>
    </row>
    <row r="108" spans="1:33" ht="54" customHeight="1" x14ac:dyDescent="0.25">
      <c r="A108" s="3">
        <v>32</v>
      </c>
      <c r="B108" s="5" t="s">
        <v>230</v>
      </c>
      <c r="C108" s="8">
        <v>45335</v>
      </c>
      <c r="D108" s="8">
        <v>45657</v>
      </c>
      <c r="E108" s="9" t="s">
        <v>246</v>
      </c>
      <c r="F108" s="9" t="s">
        <v>247</v>
      </c>
      <c r="G108" s="4">
        <v>4800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13">
        <v>4800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13">
        <v>4800</v>
      </c>
      <c r="AF108" s="4">
        <f t="shared" ref="AF108" si="107">SUM(T108:AE108)</f>
        <v>4800</v>
      </c>
      <c r="AG108" s="4">
        <f t="shared" ref="AG108" si="108">G108-AF108</f>
        <v>0</v>
      </c>
    </row>
    <row r="109" spans="1:33" ht="37.5" customHeight="1" x14ac:dyDescent="0.25">
      <c r="A109" s="3">
        <v>33</v>
      </c>
      <c r="B109" s="5" t="s">
        <v>248</v>
      </c>
      <c r="C109" s="8">
        <v>45335</v>
      </c>
      <c r="D109" s="8">
        <v>45657</v>
      </c>
      <c r="E109" s="9" t="s">
        <v>249</v>
      </c>
      <c r="F109" s="9" t="s">
        <v>250</v>
      </c>
      <c r="G109" s="4">
        <v>1600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13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13">
        <v>1600</v>
      </c>
      <c r="AF109" s="4">
        <f t="shared" ref="AF109" si="109">SUM(T109:AE109)</f>
        <v>1600</v>
      </c>
      <c r="AG109" s="4">
        <f t="shared" ref="AG109" si="110">G109-AF109</f>
        <v>0</v>
      </c>
    </row>
    <row r="110" spans="1:33" ht="28.5" customHeight="1" x14ac:dyDescent="0.25">
      <c r="A110" s="3">
        <v>34</v>
      </c>
      <c r="B110" s="5" t="s">
        <v>251</v>
      </c>
      <c r="C110" s="8">
        <v>45313</v>
      </c>
      <c r="D110" s="8">
        <v>45657</v>
      </c>
      <c r="E110" s="9" t="s">
        <v>252</v>
      </c>
      <c r="F110" s="9" t="s">
        <v>253</v>
      </c>
      <c r="G110" s="4">
        <v>55000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13">
        <f>1200+1010+850</f>
        <v>3060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13">
        <f>1200+1010+850</f>
        <v>3060</v>
      </c>
      <c r="AF110" s="4">
        <f t="shared" ref="AF110" si="111">SUM(T110:AE110)</f>
        <v>3060</v>
      </c>
      <c r="AG110" s="4">
        <f t="shared" ref="AG110" si="112">G110-AF110</f>
        <v>51940</v>
      </c>
    </row>
    <row r="111" spans="1:33" ht="78.75" customHeight="1" x14ac:dyDescent="0.25">
      <c r="A111" s="3">
        <v>35</v>
      </c>
      <c r="B111" s="5" t="s">
        <v>254</v>
      </c>
      <c r="C111" s="8">
        <v>45264</v>
      </c>
      <c r="D111" s="8">
        <v>45657</v>
      </c>
      <c r="E111" s="9" t="s">
        <v>255</v>
      </c>
      <c r="F111" s="9" t="s">
        <v>256</v>
      </c>
      <c r="G111" s="4">
        <v>1000</v>
      </c>
      <c r="H111" s="4"/>
      <c r="I111" s="4"/>
      <c r="J111" s="4"/>
      <c r="K111" s="4"/>
      <c r="L111" s="4"/>
      <c r="M111" s="4"/>
      <c r="N111" s="4">
        <f>250+250</f>
        <v>500</v>
      </c>
      <c r="O111" s="4"/>
      <c r="P111" s="4"/>
      <c r="Q111" s="4"/>
      <c r="R111" s="4"/>
      <c r="S111" s="13">
        <v>250</v>
      </c>
      <c r="T111" s="4"/>
      <c r="U111" s="4"/>
      <c r="V111" s="4"/>
      <c r="W111" s="4"/>
      <c r="X111" s="4"/>
      <c r="Y111" s="4"/>
      <c r="Z111" s="4">
        <f>250+250</f>
        <v>500</v>
      </c>
      <c r="AA111" s="4"/>
      <c r="AB111" s="4"/>
      <c r="AC111" s="4"/>
      <c r="AD111" s="4"/>
      <c r="AE111" s="13">
        <v>250</v>
      </c>
      <c r="AF111" s="4">
        <f t="shared" ref="AF111" si="113">SUM(T111:AE111)</f>
        <v>750</v>
      </c>
      <c r="AG111" s="4">
        <f t="shared" ref="AG111" si="114">G111-AF111</f>
        <v>250</v>
      </c>
    </row>
    <row r="112" spans="1:33" ht="40.5" customHeight="1" x14ac:dyDescent="0.25">
      <c r="A112" s="3">
        <v>36</v>
      </c>
      <c r="B112" s="5" t="s">
        <v>307</v>
      </c>
      <c r="C112" s="8">
        <v>45456</v>
      </c>
      <c r="D112" s="8">
        <v>45657</v>
      </c>
      <c r="E112" s="9" t="s">
        <v>308</v>
      </c>
      <c r="F112" s="9" t="s">
        <v>309</v>
      </c>
      <c r="G112" s="4">
        <v>1375</v>
      </c>
      <c r="H112" s="4"/>
      <c r="I112" s="4"/>
      <c r="J112" s="4"/>
      <c r="K112" s="4"/>
      <c r="L112" s="4"/>
      <c r="M112" s="4"/>
      <c r="N112" s="4"/>
      <c r="O112" s="4">
        <v>1375</v>
      </c>
      <c r="P112" s="4"/>
      <c r="Q112" s="4"/>
      <c r="R112" s="4"/>
      <c r="S112" s="13"/>
      <c r="T112" s="4"/>
      <c r="U112" s="4"/>
      <c r="V112" s="4"/>
      <c r="W112" s="4"/>
      <c r="X112" s="4"/>
      <c r="Y112" s="4"/>
      <c r="Z112" s="4"/>
      <c r="AA112" s="4">
        <v>1375</v>
      </c>
      <c r="AB112" s="4"/>
      <c r="AC112" s="4"/>
      <c r="AD112" s="4"/>
      <c r="AE112" s="13"/>
      <c r="AF112" s="4">
        <f t="shared" ref="AF112" si="115">SUM(T112:AE112)</f>
        <v>1375</v>
      </c>
      <c r="AG112" s="4">
        <f t="shared" ref="AG112" si="116">G112-AF112</f>
        <v>0</v>
      </c>
    </row>
    <row r="113" spans="1:33" ht="54.75" customHeight="1" x14ac:dyDescent="0.25">
      <c r="A113" s="3">
        <v>37</v>
      </c>
      <c r="B113" s="5" t="s">
        <v>310</v>
      </c>
      <c r="C113" s="8">
        <v>44910</v>
      </c>
      <c r="D113" s="8">
        <v>45291</v>
      </c>
      <c r="E113" s="9" t="s">
        <v>311</v>
      </c>
      <c r="F113" s="9" t="s">
        <v>312</v>
      </c>
      <c r="G113" s="4">
        <v>10800</v>
      </c>
      <c r="H113" s="4">
        <v>10800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13"/>
      <c r="T113" s="4">
        <v>10800</v>
      </c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13"/>
      <c r="AF113" s="4">
        <f t="shared" ref="AF113" si="117">SUM(T113:AE113)</f>
        <v>10800</v>
      </c>
      <c r="AG113" s="4">
        <f t="shared" ref="AG113" si="118">G113-AF113</f>
        <v>0</v>
      </c>
    </row>
    <row r="114" spans="1:33" ht="24.75" customHeight="1" x14ac:dyDescent="0.25">
      <c r="A114" s="3">
        <v>38</v>
      </c>
      <c r="B114" s="5" t="s">
        <v>235</v>
      </c>
      <c r="C114" s="8">
        <v>45261</v>
      </c>
      <c r="D114" s="8">
        <v>45291</v>
      </c>
      <c r="E114" s="9" t="s">
        <v>315</v>
      </c>
      <c r="F114" s="9" t="s">
        <v>313</v>
      </c>
      <c r="G114" s="4">
        <v>6000</v>
      </c>
      <c r="H114" s="4">
        <v>6000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13"/>
      <c r="T114" s="4">
        <v>6000</v>
      </c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13"/>
      <c r="AF114" s="4">
        <f t="shared" ref="AF114" si="119">SUM(T114:AE114)</f>
        <v>6000</v>
      </c>
      <c r="AG114" s="4">
        <f t="shared" ref="AG114" si="120">G114-AF114</f>
        <v>0</v>
      </c>
    </row>
    <row r="115" spans="1:33" ht="39" customHeight="1" x14ac:dyDescent="0.25">
      <c r="A115" s="3">
        <v>39</v>
      </c>
      <c r="B115" s="5" t="s">
        <v>314</v>
      </c>
      <c r="C115" s="8">
        <v>45294</v>
      </c>
      <c r="D115" s="8">
        <v>45657</v>
      </c>
      <c r="E115" s="9" t="s">
        <v>316</v>
      </c>
      <c r="F115" s="9" t="s">
        <v>76</v>
      </c>
      <c r="G115" s="4">
        <v>59220</v>
      </c>
      <c r="H115" s="4">
        <v>39480</v>
      </c>
      <c r="I115" s="4"/>
      <c r="J115" s="4"/>
      <c r="K115" s="4"/>
      <c r="L115" s="4"/>
      <c r="M115" s="4"/>
      <c r="N115" s="4"/>
      <c r="O115" s="4"/>
      <c r="P115" s="6">
        <v>9870</v>
      </c>
      <c r="Q115" s="4">
        <f>9870+9870+9870+9870</f>
        <v>39480</v>
      </c>
      <c r="R115" s="4"/>
      <c r="S115" s="13"/>
      <c r="T115" s="4">
        <f>9870+9870+9870+9870</f>
        <v>39480</v>
      </c>
      <c r="U115" s="4"/>
      <c r="V115" s="4"/>
      <c r="W115" s="4"/>
      <c r="X115" s="4"/>
      <c r="Y115" s="4"/>
      <c r="Z115" s="4"/>
      <c r="AA115" s="4"/>
      <c r="AB115" s="6">
        <v>9870</v>
      </c>
      <c r="AC115" s="4">
        <f>9870+9870+9870+9870</f>
        <v>39480</v>
      </c>
      <c r="AD115" s="4"/>
      <c r="AE115" s="13"/>
      <c r="AF115" s="4">
        <f t="shared" ref="AF115" si="121">SUM(T115:AE115)</f>
        <v>88830</v>
      </c>
      <c r="AG115" s="4">
        <f t="shared" ref="AG115" si="122">G115-AF115</f>
        <v>-29610</v>
      </c>
    </row>
    <row r="116" spans="1:33" ht="39" customHeight="1" x14ac:dyDescent="0.25">
      <c r="A116" s="3"/>
      <c r="B116" s="5" t="s">
        <v>374</v>
      </c>
      <c r="C116" s="8">
        <v>45294</v>
      </c>
      <c r="D116" s="8">
        <v>45657</v>
      </c>
      <c r="E116" s="9" t="s">
        <v>75</v>
      </c>
      <c r="F116" s="23" t="s">
        <v>375</v>
      </c>
      <c r="G116" s="4">
        <v>59220</v>
      </c>
      <c r="H116" s="4"/>
      <c r="I116" s="4"/>
      <c r="J116" s="4"/>
      <c r="K116" s="4"/>
      <c r="L116" s="4"/>
      <c r="M116" s="4"/>
      <c r="N116" s="4"/>
      <c r="O116" s="4"/>
      <c r="P116" s="4">
        <v>9870</v>
      </c>
      <c r="Q116" s="4"/>
      <c r="R116" s="4"/>
      <c r="S116" s="13"/>
      <c r="T116" s="4"/>
      <c r="U116" s="4"/>
      <c r="V116" s="4"/>
      <c r="W116" s="4"/>
      <c r="X116" s="4"/>
      <c r="Y116" s="4"/>
      <c r="Z116" s="4"/>
      <c r="AA116" s="4"/>
      <c r="AB116" s="4">
        <v>9870</v>
      </c>
      <c r="AC116" s="4"/>
      <c r="AD116" s="4"/>
      <c r="AE116" s="13"/>
      <c r="AF116" s="4">
        <f t="shared" ref="AF116" si="123">SUM(T116:AE116)</f>
        <v>9870</v>
      </c>
      <c r="AG116" s="4">
        <f t="shared" ref="AG116" si="124">G116-AF116</f>
        <v>49350</v>
      </c>
    </row>
    <row r="117" spans="1:33" ht="25.5" customHeight="1" x14ac:dyDescent="0.25">
      <c r="A117" s="3">
        <v>40</v>
      </c>
      <c r="B117" s="5" t="s">
        <v>138</v>
      </c>
      <c r="C117" s="8">
        <v>45309</v>
      </c>
      <c r="D117" s="8">
        <v>45657</v>
      </c>
      <c r="E117" s="9" t="s">
        <v>318</v>
      </c>
      <c r="F117" s="9" t="s">
        <v>317</v>
      </c>
      <c r="G117" s="4">
        <v>21480</v>
      </c>
      <c r="H117" s="4">
        <v>7160</v>
      </c>
      <c r="I117" s="4"/>
      <c r="J117" s="4"/>
      <c r="K117" s="4"/>
      <c r="L117" s="4"/>
      <c r="M117" s="4"/>
      <c r="N117" s="4"/>
      <c r="O117" s="4"/>
      <c r="P117" s="4"/>
      <c r="Q117" s="4">
        <f>1790+1790+1790+1790+1790+1790</f>
        <v>10740</v>
      </c>
      <c r="R117" s="4"/>
      <c r="S117" s="13"/>
      <c r="T117" s="4">
        <f>1790+1790+1790+1790</f>
        <v>7160</v>
      </c>
      <c r="U117" s="4"/>
      <c r="V117" s="4"/>
      <c r="W117" s="4"/>
      <c r="X117" s="4"/>
      <c r="Y117" s="4"/>
      <c r="Z117" s="4"/>
      <c r="AA117" s="4"/>
      <c r="AB117" s="4"/>
      <c r="AC117" s="4">
        <f>1790+1790+1790+1790+1790+1790</f>
        <v>10740</v>
      </c>
      <c r="AD117" s="4"/>
      <c r="AE117" s="13"/>
      <c r="AF117" s="4">
        <f t="shared" ref="AF117:AF134" si="125">SUM(T117:AE117)</f>
        <v>17900</v>
      </c>
      <c r="AG117" s="4">
        <f t="shared" ref="AG117:AG134" si="126">G117-AF117</f>
        <v>3580</v>
      </c>
    </row>
    <row r="118" spans="1:33" ht="40.5" customHeight="1" x14ac:dyDescent="0.25">
      <c r="A118" s="3">
        <v>41</v>
      </c>
      <c r="B118" s="5" t="s">
        <v>319</v>
      </c>
      <c r="C118" s="8">
        <v>45264</v>
      </c>
      <c r="D118" s="8">
        <v>45657</v>
      </c>
      <c r="E118" s="9" t="s">
        <v>320</v>
      </c>
      <c r="F118" s="9" t="s">
        <v>321</v>
      </c>
      <c r="G118" s="4">
        <v>50000</v>
      </c>
      <c r="H118" s="4">
        <v>5368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13"/>
      <c r="T118" s="4">
        <f>1464+732+3172</f>
        <v>5368</v>
      </c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13"/>
      <c r="AF118" s="4">
        <f t="shared" ref="AF118" si="127">SUM(T118:AE118)</f>
        <v>5368</v>
      </c>
      <c r="AG118" s="4">
        <f t="shared" ref="AG118" si="128">G118-AF118</f>
        <v>44632</v>
      </c>
    </row>
    <row r="119" spans="1:33" ht="27.75" customHeight="1" x14ac:dyDescent="0.25">
      <c r="A119" s="3">
        <v>42</v>
      </c>
      <c r="B119" s="5" t="s">
        <v>322</v>
      </c>
      <c r="C119" s="8">
        <v>45301</v>
      </c>
      <c r="D119" s="8">
        <v>45657</v>
      </c>
      <c r="E119" s="9" t="s">
        <v>323</v>
      </c>
      <c r="F119" s="9" t="s">
        <v>324</v>
      </c>
      <c r="G119" s="4">
        <v>921.24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13"/>
      <c r="T119" s="4">
        <v>921.24</v>
      </c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13"/>
      <c r="AF119" s="4">
        <f t="shared" ref="AF119" si="129">SUM(T119:AE119)</f>
        <v>921.24</v>
      </c>
      <c r="AG119" s="4">
        <f t="shared" ref="AG119" si="130">G119-AF119</f>
        <v>0</v>
      </c>
    </row>
    <row r="120" spans="1:33" ht="39" customHeight="1" x14ac:dyDescent="0.25">
      <c r="A120" s="3">
        <v>43</v>
      </c>
      <c r="B120" s="5" t="s">
        <v>325</v>
      </c>
      <c r="C120" s="8">
        <v>45285</v>
      </c>
      <c r="D120" s="8">
        <v>45657</v>
      </c>
      <c r="E120" s="9" t="s">
        <v>326</v>
      </c>
      <c r="F120" s="9" t="s">
        <v>327</v>
      </c>
      <c r="G120" s="4">
        <v>330480</v>
      </c>
      <c r="H120" s="4">
        <v>110160</v>
      </c>
      <c r="I120" s="4"/>
      <c r="J120" s="4"/>
      <c r="K120" s="4"/>
      <c r="L120" s="4"/>
      <c r="M120" s="4"/>
      <c r="N120" s="4">
        <f>27540+27540</f>
        <v>55080</v>
      </c>
      <c r="O120" s="4"/>
      <c r="P120" s="4"/>
      <c r="Q120" s="4"/>
      <c r="R120" s="4"/>
      <c r="S120" s="13"/>
      <c r="T120" s="4">
        <f>27540+27540+27540+27540</f>
        <v>110160</v>
      </c>
      <c r="U120" s="4"/>
      <c r="V120" s="4"/>
      <c r="W120" s="4"/>
      <c r="X120" s="4"/>
      <c r="Y120" s="4"/>
      <c r="Z120" s="4">
        <f>27540+27540</f>
        <v>55080</v>
      </c>
      <c r="AA120" s="4"/>
      <c r="AB120" s="4"/>
      <c r="AC120" s="4"/>
      <c r="AD120" s="4"/>
      <c r="AE120" s="13"/>
      <c r="AF120" s="4">
        <f t="shared" ref="AF120" si="131">SUM(T120:AE120)</f>
        <v>165240</v>
      </c>
      <c r="AG120" s="4">
        <f t="shared" ref="AG120" si="132">G120-AF120</f>
        <v>165240</v>
      </c>
    </row>
    <row r="121" spans="1:33" ht="25.5" customHeight="1" x14ac:dyDescent="0.25">
      <c r="A121" s="3">
        <v>44</v>
      </c>
      <c r="B121" s="5" t="s">
        <v>329</v>
      </c>
      <c r="C121" s="8">
        <v>45294</v>
      </c>
      <c r="D121" s="8">
        <v>45473</v>
      </c>
      <c r="E121" s="9" t="s">
        <v>332</v>
      </c>
      <c r="F121" s="9" t="s">
        <v>67</v>
      </c>
      <c r="G121" s="4">
        <v>40750</v>
      </c>
      <c r="H121" s="4">
        <v>40750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13"/>
      <c r="T121" s="4">
        <f>6791.67+6791.67+6791.67+6791.67+13583.32</f>
        <v>40750</v>
      </c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13"/>
      <c r="AF121" s="4">
        <f t="shared" ref="AF121" si="133">SUM(T121:AE121)</f>
        <v>40750</v>
      </c>
      <c r="AG121" s="4">
        <f t="shared" ref="AG121" si="134">G121-AF121</f>
        <v>0</v>
      </c>
    </row>
    <row r="122" spans="1:33" ht="24.75" customHeight="1" x14ac:dyDescent="0.25">
      <c r="A122" s="3">
        <v>45</v>
      </c>
      <c r="B122" s="5" t="s">
        <v>330</v>
      </c>
      <c r="C122" s="8">
        <v>45294</v>
      </c>
      <c r="D122" s="8">
        <v>45473</v>
      </c>
      <c r="E122" s="9" t="s">
        <v>332</v>
      </c>
      <c r="F122" s="9" t="s">
        <v>67</v>
      </c>
      <c r="G122" s="4">
        <v>40750</v>
      </c>
      <c r="H122" s="4">
        <v>40750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13"/>
      <c r="T122" s="4">
        <f>6791.67+6791.67+6791.67+6791.67+13583.32</f>
        <v>40750</v>
      </c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13"/>
      <c r="AF122" s="4">
        <f t="shared" si="125"/>
        <v>40750</v>
      </c>
      <c r="AG122" s="4">
        <f t="shared" si="126"/>
        <v>0</v>
      </c>
    </row>
    <row r="123" spans="1:33" ht="54" customHeight="1" x14ac:dyDescent="0.25">
      <c r="A123" s="3">
        <v>46</v>
      </c>
      <c r="B123" s="5" t="s">
        <v>331</v>
      </c>
      <c r="C123" s="8">
        <v>45264</v>
      </c>
      <c r="D123" s="8">
        <v>45657</v>
      </c>
      <c r="E123" s="9" t="s">
        <v>333</v>
      </c>
      <c r="F123" s="9" t="s">
        <v>334</v>
      </c>
      <c r="G123" s="4">
        <v>91976</v>
      </c>
      <c r="H123" s="4">
        <v>68333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13"/>
      <c r="T123" s="4">
        <f>10883+15850+19012+22588</f>
        <v>68333</v>
      </c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13"/>
      <c r="AF123" s="4">
        <f t="shared" ref="AF123" si="135">SUM(T123:AE123)</f>
        <v>68333</v>
      </c>
      <c r="AG123" s="4">
        <f t="shared" ref="AG123" si="136">G123-AF123</f>
        <v>23643</v>
      </c>
    </row>
    <row r="124" spans="1:33" ht="26.25" customHeight="1" x14ac:dyDescent="0.25">
      <c r="A124" s="3">
        <v>47</v>
      </c>
      <c r="B124" s="5" t="s">
        <v>335</v>
      </c>
      <c r="C124" s="8">
        <v>45335</v>
      </c>
      <c r="D124" s="8">
        <v>45657</v>
      </c>
      <c r="E124" s="9" t="s">
        <v>336</v>
      </c>
      <c r="F124" s="9" t="s">
        <v>65</v>
      </c>
      <c r="G124" s="4">
        <v>67521</v>
      </c>
      <c r="H124" s="4">
        <v>67521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13"/>
      <c r="T124" s="4">
        <v>67521</v>
      </c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13"/>
      <c r="AF124" s="4">
        <f t="shared" ref="AF124" si="137">SUM(T124:AE124)</f>
        <v>67521</v>
      </c>
      <c r="AG124" s="4">
        <f t="shared" ref="AG124" si="138">G124-AF124</f>
        <v>0</v>
      </c>
    </row>
    <row r="125" spans="1:33" ht="39" customHeight="1" x14ac:dyDescent="0.25">
      <c r="A125" s="3">
        <v>48</v>
      </c>
      <c r="B125" s="5" t="s">
        <v>337</v>
      </c>
      <c r="C125" s="8">
        <v>45329</v>
      </c>
      <c r="D125" s="8">
        <v>45657</v>
      </c>
      <c r="E125" s="20" t="s">
        <v>338</v>
      </c>
      <c r="F125" s="20" t="s">
        <v>103</v>
      </c>
      <c r="G125" s="4">
        <v>146604.10999999999</v>
      </c>
      <c r="H125" s="4">
        <v>47058.1</v>
      </c>
      <c r="I125" s="4"/>
      <c r="J125" s="4"/>
      <c r="K125" s="4"/>
      <c r="L125" s="4"/>
      <c r="M125" s="4"/>
      <c r="N125" s="4"/>
      <c r="O125" s="4"/>
      <c r="P125" s="4">
        <v>12217.01</v>
      </c>
      <c r="Q125" s="4">
        <f>12217.01</f>
        <v>12217.01</v>
      </c>
      <c r="R125" s="4">
        <f>11312.05+12217.01+11764.52</f>
        <v>35293.58</v>
      </c>
      <c r="S125" s="13"/>
      <c r="T125" s="4">
        <f>12217.01+11312.05+11764.52+11764.52</f>
        <v>47058.100000000006</v>
      </c>
      <c r="U125" s="4"/>
      <c r="V125" s="4"/>
      <c r="W125" s="4"/>
      <c r="X125" s="4"/>
      <c r="Y125" s="4"/>
      <c r="Z125" s="4"/>
      <c r="AA125" s="4"/>
      <c r="AB125" s="4">
        <v>12217.01</v>
      </c>
      <c r="AC125" s="4">
        <f>12217.01</f>
        <v>12217.01</v>
      </c>
      <c r="AD125" s="4">
        <f>11312.05+12217.01+11764.52</f>
        <v>35293.58</v>
      </c>
      <c r="AE125" s="13"/>
      <c r="AF125" s="4">
        <f t="shared" ref="AF125" si="139">SUM(T125:AE125)</f>
        <v>106785.70000000001</v>
      </c>
      <c r="AG125" s="4">
        <f t="shared" ref="AG125" si="140">G125-AF125</f>
        <v>39818.409999999974</v>
      </c>
    </row>
    <row r="126" spans="1:33" ht="39" customHeight="1" x14ac:dyDescent="0.25">
      <c r="A126" s="3">
        <v>49</v>
      </c>
      <c r="B126" s="5" t="s">
        <v>339</v>
      </c>
      <c r="C126" s="8">
        <v>45371</v>
      </c>
      <c r="D126" s="8">
        <v>45657</v>
      </c>
      <c r="E126" s="9" t="s">
        <v>340</v>
      </c>
      <c r="F126" s="20" t="s">
        <v>341</v>
      </c>
      <c r="G126" s="4">
        <v>2850</v>
      </c>
      <c r="H126" s="4">
        <v>2850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13"/>
      <c r="T126" s="4">
        <v>2850</v>
      </c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13"/>
      <c r="AF126" s="4">
        <f t="shared" ref="AF126" si="141">SUM(T126:AE126)</f>
        <v>2850</v>
      </c>
      <c r="AG126" s="4">
        <f t="shared" ref="AG126" si="142">G126-AF126</f>
        <v>0</v>
      </c>
    </row>
    <row r="127" spans="1:33" ht="27.75" customHeight="1" x14ac:dyDescent="0.25">
      <c r="A127" s="3">
        <v>50</v>
      </c>
      <c r="B127" s="5" t="s">
        <v>342</v>
      </c>
      <c r="C127" s="8">
        <v>45394</v>
      </c>
      <c r="D127" s="8">
        <v>45657</v>
      </c>
      <c r="E127" s="9" t="s">
        <v>343</v>
      </c>
      <c r="F127" s="20" t="s">
        <v>344</v>
      </c>
      <c r="G127" s="4">
        <v>1920</v>
      </c>
      <c r="H127" s="4">
        <v>1920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13"/>
      <c r="T127" s="4">
        <v>1920</v>
      </c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13"/>
      <c r="AF127" s="4">
        <f t="shared" ref="AF127" si="143">SUM(T127:AE127)</f>
        <v>1920</v>
      </c>
      <c r="AG127" s="4">
        <f t="shared" ref="AG127" si="144">G127-AF127</f>
        <v>0</v>
      </c>
    </row>
    <row r="128" spans="1:33" ht="27.75" customHeight="1" x14ac:dyDescent="0.25">
      <c r="A128" s="3">
        <v>51</v>
      </c>
      <c r="B128" s="5" t="s">
        <v>345</v>
      </c>
      <c r="C128" s="8">
        <v>45394</v>
      </c>
      <c r="D128" s="8">
        <v>45657</v>
      </c>
      <c r="E128" s="9" t="s">
        <v>343</v>
      </c>
      <c r="F128" s="20" t="s">
        <v>346</v>
      </c>
      <c r="G128" s="4">
        <v>7992</v>
      </c>
      <c r="H128" s="4">
        <v>7992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13"/>
      <c r="T128" s="4">
        <v>7992</v>
      </c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13"/>
      <c r="AF128" s="4">
        <f t="shared" ref="AF128" si="145">SUM(T128:AE128)</f>
        <v>7992</v>
      </c>
      <c r="AG128" s="4">
        <f t="shared" ref="AG128" si="146">G128-AF128</f>
        <v>0</v>
      </c>
    </row>
    <row r="129" spans="1:35" ht="27.75" customHeight="1" x14ac:dyDescent="0.25">
      <c r="A129" s="3">
        <v>52</v>
      </c>
      <c r="B129" s="5" t="s">
        <v>347</v>
      </c>
      <c r="C129" s="8">
        <v>45407</v>
      </c>
      <c r="D129" s="8">
        <v>45657</v>
      </c>
      <c r="E129" s="9" t="s">
        <v>348</v>
      </c>
      <c r="F129" s="20" t="s">
        <v>349</v>
      </c>
      <c r="G129" s="4">
        <v>93240</v>
      </c>
      <c r="H129" s="4">
        <v>31267.5</v>
      </c>
      <c r="I129" s="4"/>
      <c r="J129" s="4"/>
      <c r="K129" s="4"/>
      <c r="L129" s="4"/>
      <c r="M129" s="4"/>
      <c r="N129" s="4">
        <f>6210+9315</f>
        <v>15525</v>
      </c>
      <c r="O129" s="4"/>
      <c r="P129" s="4"/>
      <c r="Q129" s="4"/>
      <c r="R129" s="4"/>
      <c r="S129" s="13"/>
      <c r="T129" s="4">
        <f>21870+9397.5</f>
        <v>31267.5</v>
      </c>
      <c r="U129" s="4"/>
      <c r="V129" s="4"/>
      <c r="W129" s="4"/>
      <c r="X129" s="4"/>
      <c r="Y129" s="4"/>
      <c r="Z129" s="4">
        <f>6210+9315</f>
        <v>15525</v>
      </c>
      <c r="AA129" s="4"/>
      <c r="AB129" s="4"/>
      <c r="AC129" s="4"/>
      <c r="AD129" s="4"/>
      <c r="AE129" s="13"/>
      <c r="AF129" s="4">
        <f t="shared" ref="AF129" si="147">SUM(T129:AE129)</f>
        <v>46792.5</v>
      </c>
      <c r="AG129" s="4">
        <f t="shared" ref="AG129" si="148">G129-AF129</f>
        <v>46447.5</v>
      </c>
    </row>
    <row r="130" spans="1:35" ht="27.75" customHeight="1" x14ac:dyDescent="0.25">
      <c r="A130" s="3">
        <v>53</v>
      </c>
      <c r="B130" s="5" t="s">
        <v>350</v>
      </c>
      <c r="C130" s="8">
        <v>45394</v>
      </c>
      <c r="D130" s="8">
        <v>45657</v>
      </c>
      <c r="E130" s="9" t="s">
        <v>351</v>
      </c>
      <c r="F130" s="20" t="s">
        <v>352</v>
      </c>
      <c r="G130" s="4">
        <v>1776</v>
      </c>
      <c r="H130" s="4">
        <v>1776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13"/>
      <c r="T130" s="4">
        <v>1776</v>
      </c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13"/>
      <c r="AF130" s="4">
        <f t="shared" ref="AF130" si="149">SUM(T130:AE130)</f>
        <v>1776</v>
      </c>
      <c r="AG130" s="4">
        <f t="shared" ref="AG130" si="150">G130-AF130</f>
        <v>0</v>
      </c>
    </row>
    <row r="131" spans="1:35" ht="51" customHeight="1" x14ac:dyDescent="0.25">
      <c r="A131" s="3">
        <v>54</v>
      </c>
      <c r="B131" s="3">
        <v>37</v>
      </c>
      <c r="C131" s="7">
        <v>45294</v>
      </c>
      <c r="D131" s="7">
        <v>45657</v>
      </c>
      <c r="E131" s="9" t="s">
        <v>363</v>
      </c>
      <c r="F131" s="9" t="s">
        <v>364</v>
      </c>
      <c r="G131" s="4">
        <v>15000</v>
      </c>
      <c r="H131" s="4"/>
      <c r="I131" s="4"/>
      <c r="J131" s="4"/>
      <c r="K131" s="4"/>
      <c r="L131" s="4"/>
      <c r="M131" s="4"/>
      <c r="N131" s="4"/>
      <c r="O131" s="4">
        <v>15000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>
        <v>15000</v>
      </c>
      <c r="AB131" s="4"/>
      <c r="AC131" s="4"/>
      <c r="AD131" s="4"/>
      <c r="AE131" s="4"/>
      <c r="AF131" s="4">
        <f t="shared" ref="AF131" si="151">SUM(T131:AE131)</f>
        <v>15000</v>
      </c>
      <c r="AG131" s="4">
        <f t="shared" ref="AG131" si="152">G131-AF131</f>
        <v>0</v>
      </c>
    </row>
    <row r="132" spans="1:35" ht="36.75" customHeight="1" x14ac:dyDescent="0.25">
      <c r="A132" s="3">
        <v>55</v>
      </c>
      <c r="B132" s="3">
        <v>112</v>
      </c>
      <c r="C132" s="7">
        <v>45491</v>
      </c>
      <c r="D132" s="21">
        <v>45657</v>
      </c>
      <c r="E132" s="9" t="s">
        <v>308</v>
      </c>
      <c r="F132" s="9" t="s">
        <v>370</v>
      </c>
      <c r="G132" s="4">
        <v>175</v>
      </c>
      <c r="H132" s="4"/>
      <c r="I132" s="4"/>
      <c r="J132" s="4"/>
      <c r="K132" s="4"/>
      <c r="L132" s="4"/>
      <c r="M132" s="4"/>
      <c r="N132" s="4"/>
      <c r="O132" s="4">
        <v>175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>
        <v>175</v>
      </c>
      <c r="AB132" s="4"/>
      <c r="AC132" s="4"/>
      <c r="AD132" s="4"/>
      <c r="AE132" s="4"/>
      <c r="AF132" s="4">
        <f t="shared" ref="AF132" si="153">SUM(T132:AE132)</f>
        <v>175</v>
      </c>
      <c r="AG132" s="4">
        <f t="shared" ref="AG132" si="154">G132-AF132</f>
        <v>0</v>
      </c>
    </row>
    <row r="133" spans="1:35" ht="20.25" customHeight="1" x14ac:dyDescent="0.25">
      <c r="A133" s="3">
        <v>56</v>
      </c>
      <c r="B133" s="3">
        <v>47</v>
      </c>
      <c r="C133" s="7">
        <v>45309</v>
      </c>
      <c r="D133" s="7">
        <v>45657</v>
      </c>
      <c r="E133" s="9" t="s">
        <v>107</v>
      </c>
      <c r="F133" s="9" t="s">
        <v>371</v>
      </c>
      <c r="G133" s="4">
        <v>12000</v>
      </c>
      <c r="H133" s="4"/>
      <c r="I133" s="4"/>
      <c r="J133" s="4"/>
      <c r="K133" s="4"/>
      <c r="L133" s="4"/>
      <c r="M133" s="4"/>
      <c r="N133" s="4">
        <v>2817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>
        <v>2817</v>
      </c>
      <c r="AA133" s="4"/>
      <c r="AB133" s="4"/>
      <c r="AC133" s="4"/>
      <c r="AD133" s="4"/>
      <c r="AE133" s="4"/>
      <c r="AF133" s="4">
        <f t="shared" ref="AF133" si="155">SUM(T133:AE133)</f>
        <v>2817</v>
      </c>
      <c r="AG133" s="4">
        <f t="shared" ref="AG133" si="156">G133-AF133</f>
        <v>9183</v>
      </c>
    </row>
    <row r="134" spans="1:35" x14ac:dyDescent="0.25">
      <c r="A134" s="3"/>
      <c r="B134" s="3"/>
      <c r="C134" s="8"/>
      <c r="D134" s="8"/>
      <c r="E134" s="9"/>
      <c r="F134" s="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>
        <f t="shared" si="125"/>
        <v>0</v>
      </c>
      <c r="AG134" s="4">
        <f t="shared" si="126"/>
        <v>0</v>
      </c>
    </row>
    <row r="135" spans="1:35" ht="15.75" customHeight="1" x14ac:dyDescent="0.25">
      <c r="A135" s="26" t="s">
        <v>17</v>
      </c>
      <c r="B135" s="26"/>
      <c r="C135" s="26"/>
      <c r="D135" s="26"/>
      <c r="E135" s="26"/>
      <c r="F135" s="26"/>
      <c r="G135" s="6">
        <f>SUM(G77:G134)</f>
        <v>3189174.33</v>
      </c>
      <c r="H135" s="6">
        <f t="shared" ref="H135:AG135" si="157">SUM(H77:H134)</f>
        <v>603111.03</v>
      </c>
      <c r="I135" s="6"/>
      <c r="J135" s="6">
        <f t="shared" si="157"/>
        <v>0</v>
      </c>
      <c r="K135" s="6">
        <f t="shared" si="157"/>
        <v>0</v>
      </c>
      <c r="L135" s="6"/>
      <c r="M135" s="6">
        <f t="shared" si="157"/>
        <v>78000</v>
      </c>
      <c r="N135" s="6"/>
      <c r="O135" s="6">
        <f t="shared" si="157"/>
        <v>565672.84</v>
      </c>
      <c r="P135" s="6"/>
      <c r="Q135" s="6"/>
      <c r="R135" s="6"/>
      <c r="S135" s="6">
        <f t="shared" si="157"/>
        <v>25830</v>
      </c>
      <c r="T135" s="6">
        <f t="shared" si="157"/>
        <v>604032.27</v>
      </c>
      <c r="U135" s="6"/>
      <c r="V135" s="6">
        <f t="shared" si="157"/>
        <v>0</v>
      </c>
      <c r="W135" s="6">
        <f t="shared" si="157"/>
        <v>0</v>
      </c>
      <c r="X135" s="6"/>
      <c r="Y135" s="6">
        <f t="shared" si="157"/>
        <v>78000</v>
      </c>
      <c r="Z135" s="6"/>
      <c r="AA135" s="6">
        <f t="shared" si="157"/>
        <v>565672.84</v>
      </c>
      <c r="AB135" s="6"/>
      <c r="AC135" s="6"/>
      <c r="AD135" s="6"/>
      <c r="AE135" s="6">
        <f t="shared" si="157"/>
        <v>27430</v>
      </c>
      <c r="AF135" s="6">
        <f t="shared" si="157"/>
        <v>2010253.81</v>
      </c>
      <c r="AG135" s="6">
        <f t="shared" si="157"/>
        <v>1178920.5199999998</v>
      </c>
    </row>
    <row r="136" spans="1:35" ht="15.75" customHeight="1" x14ac:dyDescent="0.25">
      <c r="A136" s="28" t="s">
        <v>11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</row>
    <row r="137" spans="1:35" ht="27" customHeight="1" x14ac:dyDescent="0.25">
      <c r="A137" s="3">
        <v>1</v>
      </c>
      <c r="B137" s="3" t="s">
        <v>34</v>
      </c>
      <c r="C137" s="8">
        <v>44946</v>
      </c>
      <c r="D137" s="5" t="s">
        <v>27</v>
      </c>
      <c r="E137" s="9" t="s">
        <v>88</v>
      </c>
      <c r="F137" s="9" t="s">
        <v>25</v>
      </c>
      <c r="G137" s="4"/>
      <c r="H137" s="12">
        <v>2347732.71</v>
      </c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>
        <f>1532406.92+815325.79</f>
        <v>2347732.71</v>
      </c>
      <c r="U137" s="12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>
        <f>SUM(T137:AE137)</f>
        <v>2347732.71</v>
      </c>
      <c r="AG137" s="4">
        <f>G137-AF137</f>
        <v>-2347732.71</v>
      </c>
    </row>
    <row r="138" spans="1:35" ht="26.25" customHeight="1" x14ac:dyDescent="0.25">
      <c r="A138" s="3">
        <v>2</v>
      </c>
      <c r="B138" s="3" t="s">
        <v>39</v>
      </c>
      <c r="C138" s="8">
        <v>45293</v>
      </c>
      <c r="D138" s="5" t="s">
        <v>36</v>
      </c>
      <c r="E138" s="9" t="s">
        <v>41</v>
      </c>
      <c r="F138" s="9" t="s">
        <v>360</v>
      </c>
      <c r="G138" s="4">
        <v>18060000</v>
      </c>
      <c r="H138" s="4">
        <f>13507978.93-2180711.64+700300-6056897.63</f>
        <v>5970669.6599999992</v>
      </c>
      <c r="I138" s="4">
        <v>6056897.6299999999</v>
      </c>
      <c r="J138" s="4">
        <f>4552021.07+2180711.64-700300</f>
        <v>6032432.7100000009</v>
      </c>
      <c r="K138" s="4"/>
      <c r="L138" s="4"/>
      <c r="M138" s="4"/>
      <c r="N138" s="4"/>
      <c r="O138" s="4">
        <f>62936.05+152413.23+133957.09+123957.09</f>
        <v>473263.45999999996</v>
      </c>
      <c r="P138" s="4"/>
      <c r="Q138" s="4"/>
      <c r="R138" s="4"/>
      <c r="S138" s="4"/>
      <c r="T138" s="4">
        <f>923518.13+2077395.4+1966245.17+1003510.96</f>
        <v>5970669.6599999992</v>
      </c>
      <c r="U138" s="4">
        <f>975790.39+644573.53+719409.85+613448.7+624668.12+624668.12+664318.1+1025511.43</f>
        <v>5892388.2399999993</v>
      </c>
      <c r="V138" s="4"/>
      <c r="W138" s="4"/>
      <c r="X138" s="4"/>
      <c r="Y138" s="4"/>
      <c r="Z138" s="4"/>
      <c r="AA138" s="4">
        <f>62936.05+152413.23+133957.09+123957.09</f>
        <v>473263.45999999996</v>
      </c>
      <c r="AB138" s="4"/>
      <c r="AC138" s="4"/>
      <c r="AD138" s="4"/>
      <c r="AE138" s="4"/>
      <c r="AF138" s="4">
        <f>SUM(T138:AE138)</f>
        <v>12336321.359999999</v>
      </c>
      <c r="AG138" s="4">
        <f>G138-AF138</f>
        <v>5723678.6400000006</v>
      </c>
    </row>
    <row r="139" spans="1:35" x14ac:dyDescent="0.25">
      <c r="A139" s="3"/>
      <c r="B139" s="3"/>
      <c r="C139" s="8"/>
      <c r="D139" s="5"/>
      <c r="E139" s="9"/>
      <c r="F139" s="9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>
        <f>SUM(T139:AE139)</f>
        <v>0</v>
      </c>
      <c r="AG139" s="4">
        <f>G139-AF139</f>
        <v>0</v>
      </c>
    </row>
    <row r="140" spans="1:35" ht="15.75" customHeight="1" x14ac:dyDescent="0.25">
      <c r="A140" s="26" t="s">
        <v>18</v>
      </c>
      <c r="B140" s="26"/>
      <c r="C140" s="26"/>
      <c r="D140" s="26"/>
      <c r="E140" s="26"/>
      <c r="F140" s="26"/>
      <c r="G140" s="6">
        <f t="shared" ref="G140:AG140" si="158">SUM(G137:G139)</f>
        <v>18060000</v>
      </c>
      <c r="H140" s="6">
        <f t="shared" si="158"/>
        <v>8318402.3699999992</v>
      </c>
      <c r="I140" s="6"/>
      <c r="J140" s="6">
        <f t="shared" si="158"/>
        <v>6032432.7100000009</v>
      </c>
      <c r="K140" s="6">
        <f t="shared" si="158"/>
        <v>0</v>
      </c>
      <c r="L140" s="6"/>
      <c r="M140" s="6">
        <f t="shared" si="158"/>
        <v>0</v>
      </c>
      <c r="N140" s="6"/>
      <c r="O140" s="6">
        <f t="shared" si="158"/>
        <v>473263.45999999996</v>
      </c>
      <c r="P140" s="6"/>
      <c r="Q140" s="6"/>
      <c r="R140" s="6"/>
      <c r="S140" s="6">
        <f t="shared" si="158"/>
        <v>0</v>
      </c>
      <c r="T140" s="6">
        <f t="shared" si="158"/>
        <v>8318402.3699999992</v>
      </c>
      <c r="U140" s="6"/>
      <c r="V140" s="6">
        <f t="shared" si="158"/>
        <v>0</v>
      </c>
      <c r="W140" s="6">
        <f t="shared" si="158"/>
        <v>0</v>
      </c>
      <c r="X140" s="6"/>
      <c r="Y140" s="6">
        <f t="shared" si="158"/>
        <v>0</v>
      </c>
      <c r="Z140" s="6"/>
      <c r="AA140" s="6">
        <f t="shared" si="158"/>
        <v>473263.45999999996</v>
      </c>
      <c r="AB140" s="6"/>
      <c r="AC140" s="6"/>
      <c r="AD140" s="6"/>
      <c r="AE140" s="6">
        <f t="shared" si="158"/>
        <v>0</v>
      </c>
      <c r="AF140" s="6">
        <f t="shared" si="158"/>
        <v>14684054.07</v>
      </c>
      <c r="AG140" s="6">
        <f t="shared" si="158"/>
        <v>3375945.9300000006</v>
      </c>
    </row>
    <row r="141" spans="1:35" ht="15.75" customHeight="1" x14ac:dyDescent="0.25">
      <c r="A141" s="29" t="s">
        <v>12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</row>
    <row r="142" spans="1:35" ht="27" customHeight="1" x14ac:dyDescent="0.25">
      <c r="A142" s="3">
        <v>1</v>
      </c>
      <c r="B142" s="5">
        <v>375</v>
      </c>
      <c r="C142" s="8">
        <v>45285</v>
      </c>
      <c r="D142" s="5" t="s">
        <v>36</v>
      </c>
      <c r="E142" s="9" t="s">
        <v>358</v>
      </c>
      <c r="F142" s="9" t="s">
        <v>37</v>
      </c>
      <c r="G142" s="4">
        <f>383068.4-243095.71</f>
        <v>139972.69000000003</v>
      </c>
      <c r="H142" s="4">
        <f>300000-183757.29</f>
        <v>116242.70999999999</v>
      </c>
      <c r="I142" s="4"/>
      <c r="J142" s="4">
        <v>83068.399999999994</v>
      </c>
      <c r="K142" s="4"/>
      <c r="L142" s="4"/>
      <c r="M142" s="4"/>
      <c r="N142" s="4"/>
      <c r="O142" s="4"/>
      <c r="P142" s="4"/>
      <c r="Q142" s="4"/>
      <c r="R142" s="4"/>
      <c r="S142" s="4"/>
      <c r="T142" s="4">
        <f>23943.53+18907+16283.18+17300.53+17869.97+16697.33+5241.17</f>
        <v>116242.70999999999</v>
      </c>
      <c r="U142" s="4"/>
      <c r="V142" s="4"/>
      <c r="W142" s="4"/>
      <c r="X142" s="4"/>
      <c r="Y142" s="4"/>
      <c r="Z142" s="4"/>
      <c r="AA142" s="4">
        <f>6106.86+5955.7+5710.77+5956.65+5241.17-5241.17</f>
        <v>23729.980000000003</v>
      </c>
      <c r="AB142" s="4"/>
      <c r="AC142" s="4"/>
      <c r="AD142" s="4"/>
      <c r="AE142" s="4"/>
      <c r="AF142" s="4">
        <f>SUM(T142:AE142)</f>
        <v>139972.69</v>
      </c>
      <c r="AG142" s="4">
        <f>G142-AF142</f>
        <v>0</v>
      </c>
      <c r="AI142" s="1">
        <f>H142-T142</f>
        <v>0</v>
      </c>
    </row>
    <row r="143" spans="1:35" ht="27.75" customHeight="1" x14ac:dyDescent="0.25">
      <c r="A143" s="3">
        <v>2</v>
      </c>
      <c r="B143" s="5" t="s">
        <v>26</v>
      </c>
      <c r="C143" s="8">
        <v>45285</v>
      </c>
      <c r="D143" s="5" t="s">
        <v>36</v>
      </c>
      <c r="E143" s="9" t="s">
        <v>358</v>
      </c>
      <c r="F143" s="9" t="s">
        <v>38</v>
      </c>
      <c r="G143" s="4">
        <f>479202.5-300064.62</f>
        <v>179137.88</v>
      </c>
      <c r="H143" s="4">
        <f>350000-199786.8</f>
        <v>150213.20000000001</v>
      </c>
      <c r="I143" s="4"/>
      <c r="J143" s="4">
        <v>129202.5</v>
      </c>
      <c r="K143" s="4"/>
      <c r="L143" s="4"/>
      <c r="M143" s="4"/>
      <c r="N143" s="4"/>
      <c r="O143" s="4"/>
      <c r="P143" s="4"/>
      <c r="Q143" s="4"/>
      <c r="R143" s="4"/>
      <c r="S143" s="4"/>
      <c r="T143" s="4">
        <f>31211.93+24743.51+21516.66+22463.6+22753.34+21113.45+6410.71</f>
        <v>150213.20000000001</v>
      </c>
      <c r="U143" s="4"/>
      <c r="V143" s="4"/>
      <c r="W143" s="4"/>
      <c r="X143" s="4"/>
      <c r="Y143" s="4"/>
      <c r="Z143" s="4"/>
      <c r="AA143" s="4">
        <f>7469.58+7284.71+6985.12+7185.27+6410.71-6410.71</f>
        <v>28924.68</v>
      </c>
      <c r="AB143" s="4"/>
      <c r="AC143" s="4"/>
      <c r="AD143" s="4"/>
      <c r="AE143" s="4"/>
      <c r="AF143" s="4">
        <f>SUM(T143:AE143)</f>
        <v>179137.88</v>
      </c>
      <c r="AG143" s="4">
        <f>G143-AF143</f>
        <v>0</v>
      </c>
      <c r="AI143" s="1">
        <f>H143-T143</f>
        <v>0</v>
      </c>
    </row>
    <row r="144" spans="1:35" ht="15.75" customHeight="1" x14ac:dyDescent="0.25">
      <c r="A144" s="3"/>
      <c r="B144" s="5"/>
      <c r="C144" s="8"/>
      <c r="D144" s="5"/>
      <c r="E144" s="9"/>
      <c r="F144" s="9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>
        <f>SUM(T144:AE144)</f>
        <v>0</v>
      </c>
      <c r="AG144" s="4">
        <f>G144-AF144</f>
        <v>0</v>
      </c>
    </row>
    <row r="145" spans="1:37" ht="15.75" customHeight="1" x14ac:dyDescent="0.25">
      <c r="A145" s="27" t="s">
        <v>19</v>
      </c>
      <c r="B145" s="27"/>
      <c r="C145" s="27"/>
      <c r="D145" s="27"/>
      <c r="E145" s="27"/>
      <c r="F145" s="27"/>
      <c r="G145" s="4">
        <f>SUM(G142:G144)</f>
        <v>319110.57000000007</v>
      </c>
      <c r="H145" s="4">
        <f t="shared" ref="H145:AG145" si="159">SUM(H142:H144)</f>
        <v>266455.91000000003</v>
      </c>
      <c r="I145" s="4"/>
      <c r="J145" s="4">
        <f t="shared" si="159"/>
        <v>212270.9</v>
      </c>
      <c r="K145" s="4">
        <f t="shared" si="159"/>
        <v>0</v>
      </c>
      <c r="L145" s="4"/>
      <c r="M145" s="4">
        <f t="shared" si="159"/>
        <v>0</v>
      </c>
      <c r="N145" s="4"/>
      <c r="O145" s="4">
        <f t="shared" si="159"/>
        <v>0</v>
      </c>
      <c r="P145" s="4"/>
      <c r="Q145" s="4"/>
      <c r="R145" s="4"/>
      <c r="S145" s="4">
        <f t="shared" si="159"/>
        <v>0</v>
      </c>
      <c r="T145" s="4">
        <f t="shared" si="159"/>
        <v>266455.91000000003</v>
      </c>
      <c r="U145" s="4"/>
      <c r="V145" s="4">
        <f t="shared" si="159"/>
        <v>0</v>
      </c>
      <c r="W145" s="4">
        <f t="shared" si="159"/>
        <v>0</v>
      </c>
      <c r="X145" s="4"/>
      <c r="Y145" s="4">
        <f t="shared" si="159"/>
        <v>0</v>
      </c>
      <c r="Z145" s="4"/>
      <c r="AA145" s="4">
        <f t="shared" si="159"/>
        <v>52654.66</v>
      </c>
      <c r="AB145" s="4"/>
      <c r="AC145" s="4"/>
      <c r="AD145" s="4"/>
      <c r="AE145" s="4">
        <f t="shared" si="159"/>
        <v>0</v>
      </c>
      <c r="AF145" s="4">
        <f t="shared" si="159"/>
        <v>319110.57</v>
      </c>
      <c r="AG145" s="4">
        <f t="shared" si="159"/>
        <v>0</v>
      </c>
    </row>
    <row r="146" spans="1:37" ht="15.75" customHeight="1" x14ac:dyDescent="0.25">
      <c r="A146" s="28" t="s">
        <v>13</v>
      </c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</row>
    <row r="147" spans="1:37" ht="18" customHeight="1" x14ac:dyDescent="0.25">
      <c r="A147" s="3">
        <v>1</v>
      </c>
      <c r="B147" s="3" t="s">
        <v>35</v>
      </c>
      <c r="C147" s="8">
        <v>44925</v>
      </c>
      <c r="D147" s="5" t="s">
        <v>27</v>
      </c>
      <c r="E147" s="9" t="s">
        <v>23</v>
      </c>
      <c r="F147" s="9" t="s">
        <v>24</v>
      </c>
      <c r="G147" s="4"/>
      <c r="H147" s="4">
        <v>246138.25</v>
      </c>
      <c r="I147" s="4"/>
      <c r="J147" s="4"/>
      <c r="K147" s="13"/>
      <c r="L147" s="13"/>
      <c r="M147" s="13"/>
      <c r="N147" s="13"/>
      <c r="O147" s="13"/>
      <c r="P147" s="13"/>
      <c r="Q147" s="13"/>
      <c r="R147" s="13"/>
      <c r="S147" s="13"/>
      <c r="T147" s="4">
        <v>246138.25</v>
      </c>
      <c r="U147" s="4"/>
      <c r="V147" s="4"/>
      <c r="W147" s="13"/>
      <c r="X147" s="13"/>
      <c r="Y147" s="13"/>
      <c r="Z147" s="13"/>
      <c r="AA147" s="13"/>
      <c r="AB147" s="13"/>
      <c r="AC147" s="13"/>
      <c r="AD147" s="13"/>
      <c r="AE147" s="4"/>
      <c r="AF147" s="4">
        <f t="shared" ref="AF147:AF153" si="160">SUM(T147:AE147)</f>
        <v>246138.25</v>
      </c>
      <c r="AG147" s="4">
        <f t="shared" ref="AG147:AG153" si="161">G147-AF147</f>
        <v>-246138.25</v>
      </c>
    </row>
    <row r="148" spans="1:37" ht="27.75" customHeight="1" x14ac:dyDescent="0.25">
      <c r="A148" s="3">
        <v>2</v>
      </c>
      <c r="B148" s="3">
        <v>21500098</v>
      </c>
      <c r="C148" s="8">
        <v>45286</v>
      </c>
      <c r="D148" s="5" t="s">
        <v>36</v>
      </c>
      <c r="E148" s="9" t="s">
        <v>44</v>
      </c>
      <c r="F148" s="9" t="s">
        <v>361</v>
      </c>
      <c r="G148" s="4">
        <f>1500000-704725.96</f>
        <v>795274.04</v>
      </c>
      <c r="H148" s="4">
        <f>850000-491470.89</f>
        <v>358529.11</v>
      </c>
      <c r="I148" s="4">
        <f>491470.89-491470.89</f>
        <v>0</v>
      </c>
      <c r="J148" s="4">
        <f>650000-213255.07</f>
        <v>436744.93</v>
      </c>
      <c r="K148" s="13"/>
      <c r="L148" s="13"/>
      <c r="M148" s="13"/>
      <c r="N148" s="13"/>
      <c r="O148" s="4">
        <f>94698.67+97463.11+98098.1+83893.35+62591.7</f>
        <v>436744.93</v>
      </c>
      <c r="P148" s="4"/>
      <c r="Q148" s="4"/>
      <c r="R148" s="4"/>
      <c r="S148" s="13"/>
      <c r="T148" s="4">
        <f>49531.8+48119.53+49727.76+51858.15+56787.86+102504.01</f>
        <v>358529.11</v>
      </c>
      <c r="U148" s="4"/>
      <c r="V148" s="4"/>
      <c r="W148" s="13"/>
      <c r="X148" s="13"/>
      <c r="Y148" s="13"/>
      <c r="Z148" s="13"/>
      <c r="AA148" s="4">
        <f>94698.67+97463.11+98098.1+83893.35+62591.7</f>
        <v>436744.93</v>
      </c>
      <c r="AB148" s="4"/>
      <c r="AC148" s="4"/>
      <c r="AD148" s="4"/>
      <c r="AE148" s="4"/>
      <c r="AF148" s="4">
        <f t="shared" si="160"/>
        <v>795274.04</v>
      </c>
      <c r="AG148" s="4">
        <f t="shared" si="161"/>
        <v>0</v>
      </c>
    </row>
    <row r="149" spans="1:37" ht="27.75" customHeight="1" x14ac:dyDescent="0.25">
      <c r="A149" s="3">
        <v>3</v>
      </c>
      <c r="B149" s="3" t="s">
        <v>22</v>
      </c>
      <c r="C149" s="8">
        <v>45285</v>
      </c>
      <c r="D149" s="5" t="s">
        <v>36</v>
      </c>
      <c r="E149" s="9" t="s">
        <v>42</v>
      </c>
      <c r="F149" s="9" t="s">
        <v>40</v>
      </c>
      <c r="G149" s="4">
        <f>40000-22652.74</f>
        <v>17347.259999999998</v>
      </c>
      <c r="H149" s="4">
        <f>20000-17485.5</f>
        <v>2514.5</v>
      </c>
      <c r="I149" s="4"/>
      <c r="J149" s="4">
        <f>20000+17485.5</f>
        <v>37485.5</v>
      </c>
      <c r="K149" s="13"/>
      <c r="L149" s="13"/>
      <c r="M149" s="13"/>
      <c r="N149" s="13"/>
      <c r="O149" s="4">
        <f>2766.05+449.82+3004.33+2917.13+2383.55+1621.76+1690.12</f>
        <v>14832.760000000002</v>
      </c>
      <c r="P149" s="4"/>
      <c r="Q149" s="4"/>
      <c r="R149" s="4"/>
      <c r="S149" s="4"/>
      <c r="T149" s="4">
        <v>2514.5</v>
      </c>
      <c r="U149" s="4"/>
      <c r="V149" s="4"/>
      <c r="W149" s="4"/>
      <c r="X149" s="4"/>
      <c r="Y149" s="4"/>
      <c r="Z149" s="4"/>
      <c r="AA149" s="4">
        <f>2766.05+449.82+3004.33+2917.13+2383.55+1621.76+1690.12</f>
        <v>14832.760000000002</v>
      </c>
      <c r="AB149" s="4"/>
      <c r="AC149" s="4"/>
      <c r="AD149" s="4"/>
      <c r="AE149" s="4"/>
      <c r="AF149" s="4">
        <f t="shared" si="160"/>
        <v>17347.260000000002</v>
      </c>
      <c r="AG149" s="4">
        <f t="shared" si="161"/>
        <v>0</v>
      </c>
    </row>
    <row r="150" spans="1:37" ht="52.5" customHeight="1" x14ac:dyDescent="0.25">
      <c r="A150" s="3">
        <v>4</v>
      </c>
      <c r="B150" s="11" t="s">
        <v>43</v>
      </c>
      <c r="C150" s="7">
        <v>45280</v>
      </c>
      <c r="D150" s="14" t="s">
        <v>36</v>
      </c>
      <c r="E150" s="15" t="s">
        <v>45</v>
      </c>
      <c r="F150" s="15" t="s">
        <v>24</v>
      </c>
      <c r="G150" s="12">
        <f>3711608-3276565.67</f>
        <v>435042.33000000007</v>
      </c>
      <c r="H150" s="12">
        <f>2576347.25-2345714.61</f>
        <v>230632.64000000013</v>
      </c>
      <c r="I150" s="12"/>
      <c r="J150" s="12">
        <f>1135260.75-930851.06</f>
        <v>204409.68999999994</v>
      </c>
      <c r="K150" s="4"/>
      <c r="L150" s="4"/>
      <c r="M150" s="4"/>
      <c r="N150" s="4"/>
      <c r="O150" s="4"/>
      <c r="P150" s="4"/>
      <c r="Q150" s="4"/>
      <c r="R150" s="4"/>
      <c r="S150" s="4"/>
      <c r="T150" s="4">
        <f>78162.92+142206.34+10263.38</f>
        <v>230632.64</v>
      </c>
      <c r="U150" s="4"/>
      <c r="V150" s="4"/>
      <c r="W150" s="4"/>
      <c r="X150" s="4"/>
      <c r="Y150" s="4"/>
      <c r="Z150" s="4"/>
      <c r="AA150" s="4">
        <f>69164.13+116217.78+19027.78</f>
        <v>204409.69</v>
      </c>
      <c r="AB150" s="4"/>
      <c r="AC150" s="4"/>
      <c r="AD150" s="4"/>
      <c r="AE150" s="4"/>
      <c r="AF150" s="4">
        <f t="shared" si="160"/>
        <v>435042.33</v>
      </c>
      <c r="AG150" s="4">
        <f t="shared" si="161"/>
        <v>0</v>
      </c>
      <c r="AI150" s="1">
        <f>SUM(H150:J150)</f>
        <v>435042.33000000007</v>
      </c>
      <c r="AK150">
        <f>153:153</f>
        <v>0</v>
      </c>
    </row>
    <row r="151" spans="1:37" ht="27" customHeight="1" x14ac:dyDescent="0.25">
      <c r="A151" s="3">
        <v>5</v>
      </c>
      <c r="B151" s="11" t="s">
        <v>226</v>
      </c>
      <c r="C151" s="7">
        <v>45345</v>
      </c>
      <c r="D151" s="14" t="s">
        <v>36</v>
      </c>
      <c r="E151" s="15" t="s">
        <v>369</v>
      </c>
      <c r="F151" s="15" t="s">
        <v>227</v>
      </c>
      <c r="G151" s="12">
        <f>2830030.38-449894.06</f>
        <v>2380136.3199999998</v>
      </c>
      <c r="H151" s="12">
        <f>2345714.61-1812591.68</f>
        <v>533122.92999999993</v>
      </c>
      <c r="I151" s="12">
        <f>1812591.68-600000-326086.13</f>
        <v>886505.54999999993</v>
      </c>
      <c r="J151" s="12">
        <f>484315.77+600000-123807.93</f>
        <v>960507.84000000008</v>
      </c>
      <c r="K151" s="4"/>
      <c r="L151" s="4"/>
      <c r="M151" s="4"/>
      <c r="N151" s="4"/>
      <c r="O151" s="4"/>
      <c r="P151" s="4"/>
      <c r="Q151" s="4"/>
      <c r="R151" s="4"/>
      <c r="S151" s="4"/>
      <c r="T151" s="4">
        <f>141667.01+121151.74+115492.28+154811.9</f>
        <v>533122.93000000005</v>
      </c>
      <c r="U151" s="4">
        <f>121526.73+130339.92+331179.58+303459.32</f>
        <v>886505.55</v>
      </c>
      <c r="V151" s="4"/>
      <c r="W151" s="4"/>
      <c r="X151" s="4"/>
      <c r="Y151" s="4"/>
      <c r="Z151" s="4"/>
      <c r="AA151" s="4">
        <f>156145.69+154811.8-115492.28-154811.9+194057.42</f>
        <v>234710.73</v>
      </c>
      <c r="AB151" s="4"/>
      <c r="AC151" s="22">
        <f>278131.61+190302.62+257362.88</f>
        <v>725797.11</v>
      </c>
      <c r="AD151" s="4"/>
      <c r="AE151" s="4"/>
      <c r="AF151" s="4">
        <f t="shared" si="160"/>
        <v>2380136.3199999998</v>
      </c>
      <c r="AG151" s="4">
        <f t="shared" si="161"/>
        <v>0</v>
      </c>
      <c r="AI151" s="1">
        <f>SUM(H151:J151)</f>
        <v>2380136.3200000003</v>
      </c>
    </row>
    <row r="152" spans="1:37" ht="27" customHeight="1" x14ac:dyDescent="0.25">
      <c r="A152" s="3"/>
      <c r="B152" s="11"/>
      <c r="C152" s="7"/>
      <c r="D152" s="14"/>
      <c r="E152" s="15"/>
      <c r="F152" s="15"/>
      <c r="G152" s="12"/>
      <c r="H152" s="12"/>
      <c r="I152" s="12"/>
      <c r="J152" s="12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18"/>
      <c r="AD152" s="4"/>
      <c r="AE152" s="4"/>
      <c r="AF152" s="4"/>
      <c r="AG152" s="4"/>
      <c r="AI152" s="1"/>
    </row>
    <row r="153" spans="1:37" ht="17.25" customHeight="1" x14ac:dyDescent="0.25">
      <c r="A153" s="3"/>
      <c r="B153" s="3"/>
      <c r="C153" s="8"/>
      <c r="D153" s="8"/>
      <c r="E153" s="9"/>
      <c r="F153" s="9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>
        <f t="shared" si="160"/>
        <v>0</v>
      </c>
      <c r="AG153" s="4">
        <f t="shared" si="161"/>
        <v>0</v>
      </c>
    </row>
    <row r="154" spans="1:37" ht="15.75" customHeight="1" x14ac:dyDescent="0.25">
      <c r="A154" s="26" t="s">
        <v>20</v>
      </c>
      <c r="B154" s="26"/>
      <c r="C154" s="26"/>
      <c r="D154" s="26"/>
      <c r="E154" s="26"/>
      <c r="F154" s="26"/>
      <c r="G154" s="6">
        <f>SUM(G147:G153)</f>
        <v>3627799.95</v>
      </c>
      <c r="H154" s="6">
        <f t="shared" ref="H154:AG154" si="162">SUM(H147:H153)</f>
        <v>1370937.4300000002</v>
      </c>
      <c r="I154" s="6"/>
      <c r="J154" s="6">
        <f t="shared" si="162"/>
        <v>1639147.96</v>
      </c>
      <c r="K154" s="6">
        <f t="shared" si="162"/>
        <v>0</v>
      </c>
      <c r="L154" s="6"/>
      <c r="M154" s="6">
        <f t="shared" si="162"/>
        <v>0</v>
      </c>
      <c r="N154" s="6"/>
      <c r="O154" s="6">
        <f t="shared" si="162"/>
        <v>451577.69</v>
      </c>
      <c r="P154" s="6"/>
      <c r="Q154" s="6"/>
      <c r="R154" s="6"/>
      <c r="S154" s="6">
        <f t="shared" si="162"/>
        <v>0</v>
      </c>
      <c r="T154" s="6">
        <f t="shared" si="162"/>
        <v>1370937.4300000002</v>
      </c>
      <c r="U154" s="6"/>
      <c r="V154" s="6">
        <f t="shared" si="162"/>
        <v>0</v>
      </c>
      <c r="W154" s="6">
        <f t="shared" si="162"/>
        <v>0</v>
      </c>
      <c r="X154" s="6"/>
      <c r="Y154" s="6">
        <f t="shared" si="162"/>
        <v>0</v>
      </c>
      <c r="Z154" s="6"/>
      <c r="AA154" s="6">
        <f t="shared" si="162"/>
        <v>890698.11</v>
      </c>
      <c r="AB154" s="6"/>
      <c r="AC154" s="6"/>
      <c r="AD154" s="6"/>
      <c r="AE154" s="6">
        <f t="shared" si="162"/>
        <v>0</v>
      </c>
      <c r="AF154" s="6">
        <f t="shared" si="162"/>
        <v>3873938.2</v>
      </c>
      <c r="AG154" s="6">
        <f t="shared" si="162"/>
        <v>-246138.25</v>
      </c>
    </row>
    <row r="155" spans="1:37" ht="15.75" customHeight="1" x14ac:dyDescent="0.25">
      <c r="A155" s="28" t="s">
        <v>29</v>
      </c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</row>
    <row r="156" spans="1:37" s="2" customFormat="1" ht="38.25" x14ac:dyDescent="0.25">
      <c r="A156" s="3">
        <v>1</v>
      </c>
      <c r="B156" s="5" t="s">
        <v>365</v>
      </c>
      <c r="C156" s="8">
        <v>45427</v>
      </c>
      <c r="D156" s="5" t="s">
        <v>36</v>
      </c>
      <c r="E156" s="9" t="s">
        <v>366</v>
      </c>
      <c r="F156" s="9" t="s">
        <v>367</v>
      </c>
      <c r="G156" s="4">
        <v>10515</v>
      </c>
      <c r="H156" s="4"/>
      <c r="I156" s="4"/>
      <c r="J156" s="4"/>
      <c r="K156" s="13"/>
      <c r="L156" s="13"/>
      <c r="M156" s="13"/>
      <c r="N156" s="13"/>
      <c r="O156" s="4">
        <v>10515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>
        <v>10515</v>
      </c>
      <c r="AB156" s="4"/>
      <c r="AC156" s="4"/>
      <c r="AD156" s="4"/>
      <c r="AE156" s="4"/>
      <c r="AF156" s="4">
        <f>SUM(T156:AE156)</f>
        <v>10515</v>
      </c>
      <c r="AG156" s="4">
        <f>G156-AF156</f>
        <v>0</v>
      </c>
    </row>
    <row r="157" spans="1:37" s="2" customFormat="1" ht="38.25" x14ac:dyDescent="0.25">
      <c r="A157" s="3">
        <v>2</v>
      </c>
      <c r="B157" s="5" t="s">
        <v>368</v>
      </c>
      <c r="C157" s="8">
        <v>45427</v>
      </c>
      <c r="D157" s="5" t="s">
        <v>36</v>
      </c>
      <c r="E157" s="9" t="s">
        <v>366</v>
      </c>
      <c r="F157" s="9" t="s">
        <v>367</v>
      </c>
      <c r="G157" s="4">
        <v>3505</v>
      </c>
      <c r="H157" s="4"/>
      <c r="I157" s="4"/>
      <c r="J157" s="4"/>
      <c r="K157" s="13"/>
      <c r="L157" s="13"/>
      <c r="M157" s="13"/>
      <c r="N157" s="13"/>
      <c r="O157" s="4">
        <v>3505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>
        <v>3505</v>
      </c>
      <c r="AB157" s="4"/>
      <c r="AC157" s="4"/>
      <c r="AD157" s="4"/>
      <c r="AE157" s="4"/>
      <c r="AF157" s="4">
        <f>SUM(T157:AE157)</f>
        <v>3505</v>
      </c>
      <c r="AG157" s="4">
        <f>G157-AF157</f>
        <v>0</v>
      </c>
    </row>
    <row r="158" spans="1:37" s="2" customFormat="1" ht="17.25" customHeight="1" x14ac:dyDescent="0.25">
      <c r="A158" s="3"/>
      <c r="B158" s="5"/>
      <c r="C158" s="8"/>
      <c r="D158" s="5"/>
      <c r="E158" s="9"/>
      <c r="F158" s="9"/>
      <c r="G158" s="4"/>
      <c r="H158" s="4"/>
      <c r="I158" s="4"/>
      <c r="J158" s="4"/>
      <c r="K158" s="13"/>
      <c r="L158" s="13"/>
      <c r="M158" s="13"/>
      <c r="N158" s="13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7" ht="15.75" customHeight="1" x14ac:dyDescent="0.25">
      <c r="A159" s="26" t="s">
        <v>30</v>
      </c>
      <c r="B159" s="26"/>
      <c r="C159" s="26"/>
      <c r="D159" s="26"/>
      <c r="E159" s="26"/>
      <c r="F159" s="26"/>
      <c r="G159" s="6">
        <f>SUM(G156:G158)</f>
        <v>14020</v>
      </c>
      <c r="H159" s="6">
        <f t="shared" ref="H159:AG159" si="163">SUM(H156:H158)</f>
        <v>0</v>
      </c>
      <c r="I159" s="6"/>
      <c r="J159" s="6">
        <f t="shared" si="163"/>
        <v>0</v>
      </c>
      <c r="K159" s="6">
        <f t="shared" si="163"/>
        <v>0</v>
      </c>
      <c r="L159" s="6"/>
      <c r="M159" s="6">
        <f t="shared" si="163"/>
        <v>0</v>
      </c>
      <c r="N159" s="6"/>
      <c r="O159" s="6">
        <f t="shared" si="163"/>
        <v>14020</v>
      </c>
      <c r="P159" s="6"/>
      <c r="Q159" s="6"/>
      <c r="R159" s="6"/>
      <c r="S159" s="6">
        <f t="shared" si="163"/>
        <v>0</v>
      </c>
      <c r="T159" s="6">
        <f t="shared" si="163"/>
        <v>0</v>
      </c>
      <c r="U159" s="6"/>
      <c r="V159" s="6">
        <f t="shared" si="163"/>
        <v>0</v>
      </c>
      <c r="W159" s="6">
        <f t="shared" si="163"/>
        <v>0</v>
      </c>
      <c r="X159" s="6"/>
      <c r="Y159" s="6">
        <f t="shared" si="163"/>
        <v>0</v>
      </c>
      <c r="Z159" s="6"/>
      <c r="AA159" s="6">
        <f t="shared" si="163"/>
        <v>14020</v>
      </c>
      <c r="AB159" s="6"/>
      <c r="AC159" s="6"/>
      <c r="AD159" s="6"/>
      <c r="AE159" s="6">
        <f t="shared" si="163"/>
        <v>0</v>
      </c>
      <c r="AF159" s="6">
        <f t="shared" si="163"/>
        <v>14020</v>
      </c>
      <c r="AG159" s="6">
        <f t="shared" si="163"/>
        <v>0</v>
      </c>
    </row>
    <row r="160" spans="1:37" ht="15.75" customHeight="1" x14ac:dyDescent="0.25">
      <c r="A160" s="28" t="s">
        <v>194</v>
      </c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</row>
    <row r="161" spans="1:33" s="2" customFormat="1" ht="95.25" customHeight="1" x14ac:dyDescent="0.25">
      <c r="A161" s="3">
        <v>1</v>
      </c>
      <c r="B161" s="5" t="s">
        <v>196</v>
      </c>
      <c r="C161" s="8">
        <v>45378</v>
      </c>
      <c r="D161" s="5" t="s">
        <v>36</v>
      </c>
      <c r="E161" s="17" t="s">
        <v>195</v>
      </c>
      <c r="F161" s="9" t="s">
        <v>197</v>
      </c>
      <c r="G161" s="4">
        <v>236840.4</v>
      </c>
      <c r="H161" s="4"/>
      <c r="I161" s="4"/>
      <c r="J161" s="4"/>
      <c r="K161" s="13">
        <v>236840.4</v>
      </c>
      <c r="L161" s="13"/>
      <c r="M161" s="13"/>
      <c r="N161" s="13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>
        <f>SUM(T161:AE161)</f>
        <v>0</v>
      </c>
      <c r="AG161" s="4">
        <f>G161-AF161</f>
        <v>236840.4</v>
      </c>
    </row>
    <row r="162" spans="1:33" s="2" customFormat="1" ht="106.5" customHeight="1" x14ac:dyDescent="0.25">
      <c r="A162" s="3">
        <v>2</v>
      </c>
      <c r="B162" s="5" t="s">
        <v>217</v>
      </c>
      <c r="C162" s="8">
        <v>45386</v>
      </c>
      <c r="D162" s="5" t="s">
        <v>36</v>
      </c>
      <c r="E162" s="17" t="s">
        <v>218</v>
      </c>
      <c r="F162" s="9" t="s">
        <v>219</v>
      </c>
      <c r="G162" s="4">
        <v>534</v>
      </c>
      <c r="H162" s="4"/>
      <c r="I162" s="4"/>
      <c r="J162" s="4"/>
      <c r="K162" s="13"/>
      <c r="L162" s="13"/>
      <c r="M162" s="13"/>
      <c r="N162" s="13"/>
      <c r="O162" s="4">
        <v>534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>
        <v>534</v>
      </c>
      <c r="AB162" s="4"/>
      <c r="AC162" s="4"/>
      <c r="AD162" s="4"/>
      <c r="AE162" s="4"/>
      <c r="AF162" s="4">
        <f t="shared" ref="AF162:AF166" si="164">SUM(T162:AE162)</f>
        <v>534</v>
      </c>
      <c r="AG162" s="4">
        <f t="shared" ref="AG162:AG165" si="165">G162-AF162</f>
        <v>0</v>
      </c>
    </row>
    <row r="163" spans="1:33" s="2" customFormat="1" ht="94.5" customHeight="1" x14ac:dyDescent="0.25">
      <c r="A163" s="3">
        <v>3</v>
      </c>
      <c r="B163" s="5" t="s">
        <v>223</v>
      </c>
      <c r="C163" s="8">
        <v>45386</v>
      </c>
      <c r="D163" s="5" t="s">
        <v>36</v>
      </c>
      <c r="E163" s="17" t="s">
        <v>224</v>
      </c>
      <c r="F163" s="9" t="s">
        <v>225</v>
      </c>
      <c r="G163" s="4">
        <v>1964</v>
      </c>
      <c r="H163" s="4"/>
      <c r="I163" s="4"/>
      <c r="J163" s="4"/>
      <c r="K163" s="13"/>
      <c r="L163" s="13"/>
      <c r="M163" s="13"/>
      <c r="N163" s="13"/>
      <c r="O163" s="4">
        <v>1964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>
        <v>1964</v>
      </c>
      <c r="AB163" s="4"/>
      <c r="AC163" s="4"/>
      <c r="AD163" s="4"/>
      <c r="AE163" s="4"/>
      <c r="AF163" s="4">
        <f t="shared" si="164"/>
        <v>1964</v>
      </c>
      <c r="AG163" s="4">
        <f t="shared" si="165"/>
        <v>0</v>
      </c>
    </row>
    <row r="164" spans="1:33" s="2" customFormat="1" ht="75.75" customHeight="1" x14ac:dyDescent="0.25">
      <c r="A164" s="3">
        <v>4</v>
      </c>
      <c r="B164" s="5" t="s">
        <v>230</v>
      </c>
      <c r="C164" s="8">
        <v>45418</v>
      </c>
      <c r="D164" s="5" t="s">
        <v>36</v>
      </c>
      <c r="E164" s="17" t="s">
        <v>231</v>
      </c>
      <c r="F164" s="9" t="s">
        <v>232</v>
      </c>
      <c r="G164" s="4">
        <v>256964.4</v>
      </c>
      <c r="H164" s="4"/>
      <c r="I164" s="4"/>
      <c r="J164" s="4"/>
      <c r="K164" s="4">
        <v>256964.4</v>
      </c>
      <c r="L164" s="4"/>
      <c r="M164" s="13"/>
      <c r="N164" s="13"/>
      <c r="O164" s="4"/>
      <c r="P164" s="4"/>
      <c r="Q164" s="4"/>
      <c r="R164" s="4"/>
      <c r="S164" s="4"/>
      <c r="T164" s="4"/>
      <c r="U164" s="4"/>
      <c r="V164" s="4"/>
      <c r="W164" s="4">
        <v>256964.4</v>
      </c>
      <c r="X164" s="4"/>
      <c r="Y164" s="4"/>
      <c r="Z164" s="4"/>
      <c r="AA164" s="4"/>
      <c r="AB164" s="4"/>
      <c r="AC164" s="4"/>
      <c r="AD164" s="4"/>
      <c r="AE164" s="4"/>
      <c r="AF164" s="4">
        <f t="shared" si="164"/>
        <v>256964.4</v>
      </c>
      <c r="AG164" s="4">
        <f t="shared" si="165"/>
        <v>0</v>
      </c>
    </row>
    <row r="165" spans="1:33" s="2" customFormat="1" ht="75.75" customHeight="1" x14ac:dyDescent="0.25">
      <c r="A165" s="3">
        <v>5</v>
      </c>
      <c r="B165" s="5" t="s">
        <v>233</v>
      </c>
      <c r="C165" s="8">
        <v>45418</v>
      </c>
      <c r="D165" s="5" t="s">
        <v>36</v>
      </c>
      <c r="E165" s="17" t="s">
        <v>234</v>
      </c>
      <c r="F165" s="9" t="s">
        <v>362</v>
      </c>
      <c r="G165" s="4">
        <v>830367.74</v>
      </c>
      <c r="H165" s="4"/>
      <c r="I165" s="4"/>
      <c r="J165" s="4"/>
      <c r="K165" s="4">
        <f>830367.74-698551.81</f>
        <v>131815.92999999993</v>
      </c>
      <c r="L165" s="4">
        <v>698551.81</v>
      </c>
      <c r="M165" s="13"/>
      <c r="N165" s="13"/>
      <c r="O165" s="4"/>
      <c r="P165" s="4"/>
      <c r="Q165" s="4"/>
      <c r="R165" s="4"/>
      <c r="S165" s="4"/>
      <c r="T165" s="4"/>
      <c r="U165" s="4"/>
      <c r="V165" s="4"/>
      <c r="W165" s="4">
        <v>131815.93</v>
      </c>
      <c r="X165" s="4"/>
      <c r="Y165" s="4"/>
      <c r="Z165" s="4"/>
      <c r="AA165" s="4"/>
      <c r="AB165" s="4"/>
      <c r="AC165" s="4"/>
      <c r="AD165" s="4"/>
      <c r="AE165" s="4"/>
      <c r="AF165" s="4">
        <f t="shared" si="164"/>
        <v>131815.93</v>
      </c>
      <c r="AG165" s="4">
        <f t="shared" si="165"/>
        <v>698551.81</v>
      </c>
    </row>
    <row r="166" spans="1:33" s="2" customFormat="1" ht="17.25" customHeight="1" x14ac:dyDescent="0.25">
      <c r="A166" s="3"/>
      <c r="B166" s="5"/>
      <c r="C166" s="8"/>
      <c r="D166" s="5"/>
      <c r="E166" s="9"/>
      <c r="F166" s="9"/>
      <c r="G166" s="4"/>
      <c r="H166" s="4"/>
      <c r="I166" s="4"/>
      <c r="J166" s="4"/>
      <c r="K166" s="13"/>
      <c r="L166" s="13"/>
      <c r="M166" s="13"/>
      <c r="N166" s="13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>
        <f t="shared" si="164"/>
        <v>0</v>
      </c>
      <c r="AG166" s="4"/>
    </row>
    <row r="167" spans="1:33" ht="15.75" customHeight="1" x14ac:dyDescent="0.25">
      <c r="A167" s="26" t="s">
        <v>30</v>
      </c>
      <c r="B167" s="26"/>
      <c r="C167" s="26"/>
      <c r="D167" s="26"/>
      <c r="E167" s="26"/>
      <c r="F167" s="26"/>
      <c r="G167" s="6">
        <f>SUM(G161:G166)</f>
        <v>1326670.54</v>
      </c>
      <c r="H167" s="6">
        <f t="shared" ref="H167:AG167" si="166">SUM(H161:H166)</f>
        <v>0</v>
      </c>
      <c r="I167" s="6"/>
      <c r="J167" s="6">
        <f t="shared" si="166"/>
        <v>0</v>
      </c>
      <c r="K167" s="6">
        <f t="shared" si="166"/>
        <v>625620.73</v>
      </c>
      <c r="L167" s="6"/>
      <c r="M167" s="6">
        <f t="shared" si="166"/>
        <v>0</v>
      </c>
      <c r="N167" s="6"/>
      <c r="O167" s="6">
        <f t="shared" si="166"/>
        <v>2498</v>
      </c>
      <c r="P167" s="6"/>
      <c r="Q167" s="6"/>
      <c r="R167" s="6"/>
      <c r="S167" s="6">
        <f t="shared" si="166"/>
        <v>0</v>
      </c>
      <c r="T167" s="6">
        <f t="shared" si="166"/>
        <v>0</v>
      </c>
      <c r="U167" s="6"/>
      <c r="V167" s="6">
        <f t="shared" si="166"/>
        <v>0</v>
      </c>
      <c r="W167" s="6">
        <f t="shared" si="166"/>
        <v>388780.32999999996</v>
      </c>
      <c r="X167" s="6"/>
      <c r="Y167" s="6">
        <f t="shared" si="166"/>
        <v>0</v>
      </c>
      <c r="Z167" s="6"/>
      <c r="AA167" s="6">
        <f t="shared" si="166"/>
        <v>2498</v>
      </c>
      <c r="AB167" s="6"/>
      <c r="AC167" s="6"/>
      <c r="AD167" s="6"/>
      <c r="AE167" s="6">
        <f t="shared" si="166"/>
        <v>0</v>
      </c>
      <c r="AF167" s="6">
        <f t="shared" si="166"/>
        <v>391278.32999999996</v>
      </c>
      <c r="AG167" s="6">
        <f t="shared" si="166"/>
        <v>935392.21000000008</v>
      </c>
    </row>
  </sheetData>
  <mergeCells count="53">
    <mergeCell ref="AF1:AF3"/>
    <mergeCell ref="I2:I3"/>
    <mergeCell ref="Z2:Z3"/>
    <mergeCell ref="S2:S3"/>
    <mergeCell ref="O2:O3"/>
    <mergeCell ref="AD2:AD3"/>
    <mergeCell ref="A160:AG160"/>
    <mergeCell ref="A155:AG155"/>
    <mergeCell ref="A145:F145"/>
    <mergeCell ref="Y2:Y3"/>
    <mergeCell ref="A154:F154"/>
    <mergeCell ref="C1:C3"/>
    <mergeCell ref="A4:AG4"/>
    <mergeCell ref="H1:S1"/>
    <mergeCell ref="K2:K3"/>
    <mergeCell ref="T2:T3"/>
    <mergeCell ref="V2:V3"/>
    <mergeCell ref="A140:F140"/>
    <mergeCell ref="D1:D3"/>
    <mergeCell ref="Q2:Q3"/>
    <mergeCell ref="F1:F3"/>
    <mergeCell ref="H2:H3"/>
    <mergeCell ref="A167:F167"/>
    <mergeCell ref="AE2:AE3"/>
    <mergeCell ref="A159:F159"/>
    <mergeCell ref="A33:F33"/>
    <mergeCell ref="A69:F69"/>
    <mergeCell ref="A75:F75"/>
    <mergeCell ref="A135:F135"/>
    <mergeCell ref="A146:AG146"/>
    <mergeCell ref="A34:AG34"/>
    <mergeCell ref="A70:AG70"/>
    <mergeCell ref="A76:AG76"/>
    <mergeCell ref="A136:AG136"/>
    <mergeCell ref="N2:N3"/>
    <mergeCell ref="A141:AG141"/>
    <mergeCell ref="AG1:AG3"/>
    <mergeCell ref="A1:A3"/>
    <mergeCell ref="B1:B3"/>
    <mergeCell ref="W2:W3"/>
    <mergeCell ref="AA2:AA3"/>
    <mergeCell ref="G1:G3"/>
    <mergeCell ref="M2:M3"/>
    <mergeCell ref="T1:AE1"/>
    <mergeCell ref="U2:U3"/>
    <mergeCell ref="L2:L3"/>
    <mergeCell ref="X2:X3"/>
    <mergeCell ref="R2:R3"/>
    <mergeCell ref="E1:E3"/>
    <mergeCell ref="AC2:AC3"/>
    <mergeCell ref="J2:J3"/>
    <mergeCell ref="P2:P3"/>
    <mergeCell ref="AB2:AB3"/>
  </mergeCells>
  <pageMargins left="0.19685039370078741" right="0.19685039370078741" top="0.19685039370078741" bottom="0.19685039370078741" header="0.31496062992125984" footer="0.31496062992125984"/>
  <pageSetup paperSize="9" scale="3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2024-11-12T08:50:36Z</dcterms:modified>
</cp:coreProperties>
</file>